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FB411EB-0EB7-457D-B701-8E4D8EA295D2}" xr6:coauthVersionLast="47" xr6:coauthVersionMax="47" xr10:uidLastSave="{00000000-0000-0000-0000-000000000000}"/>
  <bookViews>
    <workbookView xWindow="-120" yWindow="-120" windowWidth="29040" windowHeight="15720" activeTab="2" xr2:uid="{20473DEF-996A-46C0-87DE-B9F6CF8390B9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9" i="2" s="1"/>
  <c r="F204" i="2"/>
  <c r="C205" i="2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F8" i="2"/>
  <c r="G204" i="2" s="1"/>
  <c r="E8" i="2"/>
  <c r="D9" i="2"/>
  <c r="K136" i="1"/>
  <c r="K133" i="1"/>
  <c r="Q146" i="1"/>
  <c r="P142" i="1"/>
  <c r="P143" i="1"/>
  <c r="Q144" i="1"/>
  <c r="Q140" i="1"/>
  <c r="P13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F134" i="1"/>
  <c r="F135" i="1" s="1"/>
  <c r="H133" i="1"/>
  <c r="G133" i="1"/>
  <c r="I129" i="1"/>
  <c r="I12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29" i="1" s="1"/>
  <c r="D148" i="1"/>
  <c r="C148" i="1"/>
  <c r="B148" i="1"/>
  <c r="C147" i="1"/>
  <c r="B147" i="1"/>
  <c r="C146" i="1"/>
  <c r="B146" i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D133" i="1" s="1"/>
  <c r="D147" i="1"/>
  <c r="D146" i="1"/>
  <c r="D139" i="1"/>
  <c r="D138" i="1"/>
  <c r="D137" i="1"/>
  <c r="D136" i="1"/>
  <c r="D135" i="1"/>
  <c r="D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J48" i="1"/>
  <c r="I113" i="1"/>
  <c r="H120" i="1" s="1"/>
  <c r="L48" i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H49" i="1"/>
  <c r="G49" i="1"/>
  <c r="F50" i="1"/>
  <c r="F51" i="1" s="1"/>
  <c r="G26" i="1"/>
  <c r="F26" i="1"/>
  <c r="E26" i="1"/>
  <c r="D26" i="1"/>
  <c r="G25" i="1"/>
  <c r="G30" i="1" s="1"/>
  <c r="F25" i="1"/>
  <c r="F29" i="1" s="1"/>
  <c r="E25" i="1"/>
  <c r="E30" i="1" s="1"/>
  <c r="D25" i="1"/>
  <c r="D30" i="1" s="1"/>
  <c r="C59" i="2" l="1"/>
  <c r="C112" i="2" s="1"/>
  <c r="F168" i="2" s="1"/>
  <c r="G169" i="2" s="1"/>
  <c r="G8" i="2"/>
  <c r="D10" i="2"/>
  <c r="D11" i="2" s="1"/>
  <c r="D12" i="2" s="1"/>
  <c r="F9" i="2"/>
  <c r="G205" i="2" s="1"/>
  <c r="E9" i="2"/>
  <c r="H135" i="1"/>
  <c r="G135" i="1"/>
  <c r="F136" i="1"/>
  <c r="G134" i="1"/>
  <c r="H134" i="1"/>
  <c r="G50" i="1"/>
  <c r="H50" i="1"/>
  <c r="F52" i="1"/>
  <c r="H51" i="1"/>
  <c r="G51" i="1"/>
  <c r="I49" i="1"/>
  <c r="F30" i="1"/>
  <c r="F31" i="1" s="1"/>
  <c r="D29" i="1"/>
  <c r="E29" i="1"/>
  <c r="G29" i="1"/>
  <c r="F11" i="2" l="1"/>
  <c r="E11" i="2"/>
  <c r="E10" i="2"/>
  <c r="F10" i="2"/>
  <c r="G206" i="2" s="1"/>
  <c r="G9" i="2"/>
  <c r="E12" i="2"/>
  <c r="F12" i="2"/>
  <c r="G208" i="2" s="1"/>
  <c r="D13" i="2"/>
  <c r="F137" i="1"/>
  <c r="H136" i="1"/>
  <c r="G136" i="1"/>
  <c r="I50" i="1"/>
  <c r="J50" i="1" s="1"/>
  <c r="G31" i="1"/>
  <c r="G37" i="1"/>
  <c r="E31" i="1"/>
  <c r="E37" i="1"/>
  <c r="D31" i="1"/>
  <c r="D37" i="1"/>
  <c r="J49" i="1"/>
  <c r="I51" i="1"/>
  <c r="J51" i="1" s="1"/>
  <c r="F53" i="1"/>
  <c r="H52" i="1"/>
  <c r="G52" i="1"/>
  <c r="F37" i="1"/>
  <c r="G10" i="2" l="1"/>
  <c r="G11" i="2"/>
  <c r="G207" i="2"/>
  <c r="E13" i="2"/>
  <c r="D14" i="2"/>
  <c r="F13" i="2"/>
  <c r="G209" i="2" s="1"/>
  <c r="G12" i="2"/>
  <c r="F138" i="1"/>
  <c r="H137" i="1"/>
  <c r="G137" i="1"/>
  <c r="I52" i="1"/>
  <c r="J52" i="1" s="1"/>
  <c r="F54" i="1"/>
  <c r="H53" i="1"/>
  <c r="G53" i="1"/>
  <c r="I53" i="1" s="1"/>
  <c r="J53" i="1" s="1"/>
  <c r="E14" i="2" l="1"/>
  <c r="F14" i="2"/>
  <c r="G210" i="2" s="1"/>
  <c r="D15" i="2"/>
  <c r="G13" i="2"/>
  <c r="F139" i="1"/>
  <c r="H138" i="1"/>
  <c r="G138" i="1"/>
  <c r="F55" i="1"/>
  <c r="H54" i="1"/>
  <c r="G54" i="1"/>
  <c r="E15" i="2" l="1"/>
  <c r="D16" i="2"/>
  <c r="F15" i="2"/>
  <c r="G211" i="2" s="1"/>
  <c r="G14" i="2"/>
  <c r="H139" i="1"/>
  <c r="G139" i="1"/>
  <c r="F140" i="1"/>
  <c r="I54" i="1"/>
  <c r="F56" i="1"/>
  <c r="H55" i="1"/>
  <c r="G55" i="1"/>
  <c r="D17" i="2" l="1"/>
  <c r="E16" i="2"/>
  <c r="F16" i="2"/>
  <c r="G212" i="2" s="1"/>
  <c r="G15" i="2"/>
  <c r="F141" i="1"/>
  <c r="H140" i="1"/>
  <c r="G140" i="1"/>
  <c r="F57" i="1"/>
  <c r="G56" i="1"/>
  <c r="H56" i="1"/>
  <c r="J54" i="1"/>
  <c r="I55" i="1"/>
  <c r="J55" i="1" s="1"/>
  <c r="G16" i="2" l="1"/>
  <c r="D18" i="2"/>
  <c r="E17" i="2"/>
  <c r="F17" i="2"/>
  <c r="G213" i="2" s="1"/>
  <c r="F142" i="1"/>
  <c r="H141" i="1"/>
  <c r="G141" i="1"/>
  <c r="I56" i="1"/>
  <c r="J56" i="1" s="1"/>
  <c r="F58" i="1"/>
  <c r="H57" i="1"/>
  <c r="G57" i="1"/>
  <c r="G17" i="2" l="1"/>
  <c r="D19" i="2"/>
  <c r="E18" i="2"/>
  <c r="F18" i="2"/>
  <c r="G214" i="2" s="1"/>
  <c r="F143" i="1"/>
  <c r="H142" i="1"/>
  <c r="G142" i="1"/>
  <c r="I57" i="1"/>
  <c r="J57" i="1" s="1"/>
  <c r="F59" i="1"/>
  <c r="H58" i="1"/>
  <c r="G58" i="1"/>
  <c r="I58" i="1" s="1"/>
  <c r="J58" i="1" s="1"/>
  <c r="G18" i="2" l="1"/>
  <c r="D20" i="2"/>
  <c r="E19" i="2"/>
  <c r="F19" i="2"/>
  <c r="G215" i="2" s="1"/>
  <c r="H143" i="1"/>
  <c r="G143" i="1"/>
  <c r="F144" i="1"/>
  <c r="F60" i="1"/>
  <c r="G59" i="1"/>
  <c r="H59" i="1"/>
  <c r="G19" i="2" l="1"/>
  <c r="D21" i="2"/>
  <c r="E20" i="2"/>
  <c r="F20" i="2"/>
  <c r="G216" i="2" s="1"/>
  <c r="F145" i="1"/>
  <c r="H144" i="1"/>
  <c r="G144" i="1"/>
  <c r="I59" i="1"/>
  <c r="J59" i="1" s="1"/>
  <c r="F61" i="1"/>
  <c r="H60" i="1"/>
  <c r="G60" i="1"/>
  <c r="G20" i="2" l="1"/>
  <c r="D22" i="2"/>
  <c r="E21" i="2"/>
  <c r="F21" i="2"/>
  <c r="G217" i="2" s="1"/>
  <c r="F146" i="1"/>
  <c r="H145" i="1"/>
  <c r="G145" i="1"/>
  <c r="I60" i="1"/>
  <c r="J60" i="1" s="1"/>
  <c r="F62" i="1"/>
  <c r="H61" i="1"/>
  <c r="G61" i="1"/>
  <c r="I61" i="1" s="1"/>
  <c r="J61" i="1" s="1"/>
  <c r="D23" i="2" l="1"/>
  <c r="E22" i="2"/>
  <c r="F22" i="2"/>
  <c r="G218" i="2" s="1"/>
  <c r="G21" i="2"/>
  <c r="F147" i="1"/>
  <c r="H146" i="1"/>
  <c r="G146" i="1"/>
  <c r="F63" i="1"/>
  <c r="H62" i="1"/>
  <c r="G62" i="1"/>
  <c r="I62" i="1" s="1"/>
  <c r="J62" i="1" s="1"/>
  <c r="G22" i="2" l="1"/>
  <c r="D24" i="2"/>
  <c r="E23" i="2"/>
  <c r="F23" i="2"/>
  <c r="G219" i="2" s="1"/>
  <c r="H147" i="1"/>
  <c r="H148" i="1" s="1"/>
  <c r="G147" i="1"/>
  <c r="F64" i="1"/>
  <c r="H63" i="1"/>
  <c r="G63" i="1"/>
  <c r="G23" i="2" l="1"/>
  <c r="D25" i="2"/>
  <c r="E24" i="2"/>
  <c r="F24" i="2"/>
  <c r="G220" i="2" s="1"/>
  <c r="G148" i="1"/>
  <c r="I63" i="1"/>
  <c r="J63" i="1" s="1"/>
  <c r="F65" i="1"/>
  <c r="H64" i="1"/>
  <c r="G64" i="1"/>
  <c r="I64" i="1" s="1"/>
  <c r="J64" i="1" s="1"/>
  <c r="G24" i="2" l="1"/>
  <c r="D26" i="2"/>
  <c r="E25" i="2"/>
  <c r="F25" i="2"/>
  <c r="G221" i="2" s="1"/>
  <c r="F66" i="1"/>
  <c r="H65" i="1"/>
  <c r="G65" i="1"/>
  <c r="G25" i="2" l="1"/>
  <c r="D27" i="2"/>
  <c r="E26" i="2"/>
  <c r="F26" i="2"/>
  <c r="G222" i="2" s="1"/>
  <c r="F67" i="1"/>
  <c r="H66" i="1"/>
  <c r="G66" i="1"/>
  <c r="I65" i="1"/>
  <c r="J65" i="1" s="1"/>
  <c r="D28" i="2" l="1"/>
  <c r="E27" i="2"/>
  <c r="F27" i="2"/>
  <c r="G223" i="2" s="1"/>
  <c r="G26" i="2"/>
  <c r="I66" i="1"/>
  <c r="J66" i="1" s="1"/>
  <c r="F68" i="1"/>
  <c r="G67" i="1"/>
  <c r="H67" i="1"/>
  <c r="G27" i="2" l="1"/>
  <c r="D29" i="2"/>
  <c r="E28" i="2"/>
  <c r="F28" i="2"/>
  <c r="G224" i="2" s="1"/>
  <c r="I67" i="1"/>
  <c r="J67" i="1" s="1"/>
  <c r="F69" i="1"/>
  <c r="H68" i="1"/>
  <c r="G68" i="1"/>
  <c r="I68" i="1" s="1"/>
  <c r="J68" i="1" s="1"/>
  <c r="G28" i="2" l="1"/>
  <c r="D30" i="2"/>
  <c r="F29" i="2"/>
  <c r="G225" i="2" s="1"/>
  <c r="E29" i="2"/>
  <c r="F70" i="1"/>
  <c r="H69" i="1"/>
  <c r="G69" i="1"/>
  <c r="G29" i="2" l="1"/>
  <c r="D31" i="2"/>
  <c r="E30" i="2"/>
  <c r="F30" i="2"/>
  <c r="I69" i="1"/>
  <c r="J69" i="1" s="1"/>
  <c r="F71" i="1"/>
  <c r="H70" i="1"/>
  <c r="G70" i="1"/>
  <c r="G30" i="2" l="1"/>
  <c r="G226" i="2"/>
  <c r="D32" i="2"/>
  <c r="E31" i="2"/>
  <c r="F31" i="2"/>
  <c r="G227" i="2" s="1"/>
  <c r="I70" i="1"/>
  <c r="J70" i="1" s="1"/>
  <c r="F72" i="1"/>
  <c r="H71" i="1"/>
  <c r="G71" i="1"/>
  <c r="I71" i="1" s="1"/>
  <c r="J71" i="1" s="1"/>
  <c r="G31" i="2" l="1"/>
  <c r="D33" i="2"/>
  <c r="E32" i="2"/>
  <c r="F32" i="2"/>
  <c r="G228" i="2" s="1"/>
  <c r="F73" i="1"/>
  <c r="H72" i="1"/>
  <c r="G72" i="1"/>
  <c r="I72" i="1" s="1"/>
  <c r="J72" i="1" s="1"/>
  <c r="G32" i="2" l="1"/>
  <c r="D34" i="2"/>
  <c r="E33" i="2"/>
  <c r="F33" i="2"/>
  <c r="G229" i="2" s="1"/>
  <c r="F74" i="1"/>
  <c r="H73" i="1"/>
  <c r="G73" i="1"/>
  <c r="I73" i="1" s="1"/>
  <c r="J73" i="1" s="1"/>
  <c r="G33" i="2" l="1"/>
  <c r="D35" i="2"/>
  <c r="E34" i="2"/>
  <c r="F34" i="2"/>
  <c r="G230" i="2" s="1"/>
  <c r="F75" i="1"/>
  <c r="G74" i="1"/>
  <c r="H74" i="1"/>
  <c r="G34" i="2" l="1"/>
  <c r="D36" i="2"/>
  <c r="E35" i="2"/>
  <c r="F35" i="2"/>
  <c r="G231" i="2" s="1"/>
  <c r="I74" i="1"/>
  <c r="J74" i="1" s="1"/>
  <c r="F76" i="1"/>
  <c r="G75" i="1"/>
  <c r="H75" i="1"/>
  <c r="G35" i="2" l="1"/>
  <c r="D37" i="2"/>
  <c r="E36" i="2"/>
  <c r="F36" i="2"/>
  <c r="G232" i="2" s="1"/>
  <c r="I75" i="1"/>
  <c r="J75" i="1" s="1"/>
  <c r="F77" i="1"/>
  <c r="H76" i="1"/>
  <c r="G76" i="1"/>
  <c r="I76" i="1" s="1"/>
  <c r="J76" i="1" s="1"/>
  <c r="G36" i="2" l="1"/>
  <c r="D38" i="2"/>
  <c r="E37" i="2"/>
  <c r="F37" i="2"/>
  <c r="G233" i="2" s="1"/>
  <c r="F78" i="1"/>
  <c r="H77" i="1"/>
  <c r="G77" i="1"/>
  <c r="I77" i="1" s="1"/>
  <c r="J77" i="1" s="1"/>
  <c r="G37" i="2" l="1"/>
  <c r="D39" i="2"/>
  <c r="E38" i="2"/>
  <c r="F38" i="2"/>
  <c r="G234" i="2" s="1"/>
  <c r="F79" i="1"/>
  <c r="H78" i="1"/>
  <c r="G78" i="1"/>
  <c r="G38" i="2" l="1"/>
  <c r="D40" i="2"/>
  <c r="E39" i="2"/>
  <c r="F39" i="2"/>
  <c r="G235" i="2" s="1"/>
  <c r="I78" i="1"/>
  <c r="J78" i="1" s="1"/>
  <c r="F80" i="1"/>
  <c r="H79" i="1"/>
  <c r="G79" i="1"/>
  <c r="G39" i="2" l="1"/>
  <c r="D41" i="2"/>
  <c r="E40" i="2"/>
  <c r="F40" i="2"/>
  <c r="G236" i="2" s="1"/>
  <c r="I79" i="1"/>
  <c r="J79" i="1" s="1"/>
  <c r="F81" i="1"/>
  <c r="H80" i="1"/>
  <c r="G80" i="1"/>
  <c r="I80" i="1" s="1"/>
  <c r="J80" i="1" s="1"/>
  <c r="G40" i="2" l="1"/>
  <c r="D42" i="2"/>
  <c r="E41" i="2"/>
  <c r="F41" i="2"/>
  <c r="G237" i="2" s="1"/>
  <c r="H81" i="1"/>
  <c r="G81" i="1"/>
  <c r="F82" i="1"/>
  <c r="G41" i="2" l="1"/>
  <c r="D43" i="2"/>
  <c r="E42" i="2"/>
  <c r="F42" i="2"/>
  <c r="G238" i="2" s="1"/>
  <c r="F83" i="1"/>
  <c r="H82" i="1"/>
  <c r="G82" i="1"/>
  <c r="I81" i="1"/>
  <c r="J81" i="1" s="1"/>
  <c r="G42" i="2" l="1"/>
  <c r="D44" i="2"/>
  <c r="E43" i="2"/>
  <c r="F43" i="2"/>
  <c r="G239" i="2" s="1"/>
  <c r="I82" i="1"/>
  <c r="J82" i="1" s="1"/>
  <c r="F84" i="1"/>
  <c r="H83" i="1"/>
  <c r="G83" i="1"/>
  <c r="G43" i="2" l="1"/>
  <c r="D45" i="2"/>
  <c r="E44" i="2"/>
  <c r="F44" i="2"/>
  <c r="G240" i="2" s="1"/>
  <c r="I83" i="1"/>
  <c r="J83" i="1" s="1"/>
  <c r="F85" i="1"/>
  <c r="H84" i="1"/>
  <c r="G84" i="1"/>
  <c r="I84" i="1" s="1"/>
  <c r="J84" i="1" s="1"/>
  <c r="G44" i="2" l="1"/>
  <c r="D46" i="2"/>
  <c r="E45" i="2"/>
  <c r="F45" i="2"/>
  <c r="G241" i="2" s="1"/>
  <c r="F86" i="1"/>
  <c r="H85" i="1"/>
  <c r="G85" i="1"/>
  <c r="G45" i="2" l="1"/>
  <c r="D47" i="2"/>
  <c r="E46" i="2"/>
  <c r="F46" i="2"/>
  <c r="G242" i="2" s="1"/>
  <c r="F87" i="1"/>
  <c r="H86" i="1"/>
  <c r="G86" i="1"/>
  <c r="I85" i="1"/>
  <c r="J85" i="1" s="1"/>
  <c r="D48" i="2" l="1"/>
  <c r="F47" i="2"/>
  <c r="G243" i="2" s="1"/>
  <c r="E47" i="2"/>
  <c r="G46" i="2"/>
  <c r="I86" i="1"/>
  <c r="J86" i="1" s="1"/>
  <c r="F88" i="1"/>
  <c r="H87" i="1"/>
  <c r="G87" i="1"/>
  <c r="I87" i="1" s="1"/>
  <c r="J87" i="1" s="1"/>
  <c r="G47" i="2" l="1"/>
  <c r="D49" i="2"/>
  <c r="E48" i="2"/>
  <c r="F48" i="2"/>
  <c r="G244" i="2" s="1"/>
  <c r="F89" i="1"/>
  <c r="H88" i="1"/>
  <c r="G88" i="1"/>
  <c r="G48" i="2" l="1"/>
  <c r="D50" i="2"/>
  <c r="E49" i="2"/>
  <c r="F49" i="2"/>
  <c r="G245" i="2" s="1"/>
  <c r="I88" i="1"/>
  <c r="J88" i="1" s="1"/>
  <c r="F90" i="1"/>
  <c r="G89" i="1"/>
  <c r="H89" i="1"/>
  <c r="G49" i="2" l="1"/>
  <c r="D51" i="2"/>
  <c r="E50" i="2"/>
  <c r="F50" i="2"/>
  <c r="G246" i="2" s="1"/>
  <c r="I89" i="1"/>
  <c r="J89" i="1" s="1"/>
  <c r="F91" i="1"/>
  <c r="G90" i="1"/>
  <c r="H90" i="1"/>
  <c r="G50" i="2" l="1"/>
  <c r="D52" i="2"/>
  <c r="E51" i="2"/>
  <c r="F51" i="2"/>
  <c r="G247" i="2" s="1"/>
  <c r="I90" i="1"/>
  <c r="J90" i="1" s="1"/>
  <c r="F92" i="1"/>
  <c r="H91" i="1"/>
  <c r="G91" i="1"/>
  <c r="I91" i="1" s="1"/>
  <c r="J91" i="1" s="1"/>
  <c r="G51" i="2" l="1"/>
  <c r="D53" i="2"/>
  <c r="E52" i="2"/>
  <c r="F52" i="2"/>
  <c r="G248" i="2" s="1"/>
  <c r="F93" i="1"/>
  <c r="H92" i="1"/>
  <c r="G92" i="1"/>
  <c r="G52" i="2" l="1"/>
  <c r="D54" i="2"/>
  <c r="E53" i="2"/>
  <c r="F53" i="2"/>
  <c r="G249" i="2" s="1"/>
  <c r="F94" i="1"/>
  <c r="H93" i="1"/>
  <c r="G93" i="1"/>
  <c r="I93" i="1" s="1"/>
  <c r="J93" i="1" s="1"/>
  <c r="I92" i="1"/>
  <c r="J92" i="1" s="1"/>
  <c r="G53" i="2" l="1"/>
  <c r="D55" i="2"/>
  <c r="E54" i="2"/>
  <c r="F54" i="2"/>
  <c r="G250" i="2" s="1"/>
  <c r="F95" i="1"/>
  <c r="H94" i="1"/>
  <c r="G94" i="1"/>
  <c r="I94" i="1" s="1"/>
  <c r="J94" i="1" s="1"/>
  <c r="G54" i="2" l="1"/>
  <c r="E55" i="2"/>
  <c r="F55" i="2"/>
  <c r="G251" i="2" s="1"/>
  <c r="F96" i="1"/>
  <c r="H95" i="1"/>
  <c r="G95" i="1"/>
  <c r="D335" i="2" l="1"/>
  <c r="E335" i="2"/>
  <c r="F335" i="2"/>
  <c r="G335" i="2"/>
  <c r="H55" i="2"/>
  <c r="H251" i="2" s="1"/>
  <c r="I251" i="2" s="1"/>
  <c r="H11" i="2"/>
  <c r="H10" i="2"/>
  <c r="H12" i="2"/>
  <c r="H9" i="2"/>
  <c r="H8" i="2"/>
  <c r="H13" i="2"/>
  <c r="H14" i="2"/>
  <c r="H16" i="2"/>
  <c r="H15" i="2"/>
  <c r="H17" i="2"/>
  <c r="H19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2" i="2"/>
  <c r="H44" i="2"/>
  <c r="H45" i="2"/>
  <c r="H46" i="2"/>
  <c r="H47" i="2"/>
  <c r="H48" i="2"/>
  <c r="H49" i="2"/>
  <c r="H50" i="2"/>
  <c r="H53" i="2"/>
  <c r="H51" i="2"/>
  <c r="H54" i="2"/>
  <c r="H52" i="2"/>
  <c r="G55" i="2"/>
  <c r="I95" i="1"/>
  <c r="J95" i="1" s="1"/>
  <c r="F97" i="1"/>
  <c r="H96" i="1"/>
  <c r="G96" i="1"/>
  <c r="H231" i="2" l="1"/>
  <c r="I231" i="2" s="1"/>
  <c r="J35" i="2"/>
  <c r="C87" i="2" s="1"/>
  <c r="E139" i="2" s="1"/>
  <c r="J8" i="2"/>
  <c r="C60" i="2" s="1"/>
  <c r="H204" i="2"/>
  <c r="I204" i="2" s="1"/>
  <c r="H247" i="2"/>
  <c r="I247" i="2" s="1"/>
  <c r="J51" i="2"/>
  <c r="C103" i="2" s="1"/>
  <c r="E155" i="2" s="1"/>
  <c r="H216" i="2"/>
  <c r="I216" i="2" s="1"/>
  <c r="J20" i="2"/>
  <c r="C72" i="2" s="1"/>
  <c r="E124" i="2" s="1"/>
  <c r="H246" i="2"/>
  <c r="I246" i="2" s="1"/>
  <c r="J50" i="2"/>
  <c r="C102" i="2" s="1"/>
  <c r="E154" i="2" s="1"/>
  <c r="H213" i="2"/>
  <c r="I213" i="2" s="1"/>
  <c r="J17" i="2"/>
  <c r="C69" i="2" s="1"/>
  <c r="E121" i="2" s="1"/>
  <c r="H228" i="2"/>
  <c r="I228" i="2" s="1"/>
  <c r="J32" i="2"/>
  <c r="C84" i="2" s="1"/>
  <c r="E136" i="2" s="1"/>
  <c r="H212" i="2"/>
  <c r="I212" i="2" s="1"/>
  <c r="J16" i="2"/>
  <c r="C68" i="2" s="1"/>
  <c r="E120" i="2" s="1"/>
  <c r="H226" i="2"/>
  <c r="I226" i="2" s="1"/>
  <c r="J30" i="2"/>
  <c r="C82" i="2" s="1"/>
  <c r="E134" i="2" s="1"/>
  <c r="H209" i="2"/>
  <c r="I209" i="2" s="1"/>
  <c r="J13" i="2"/>
  <c r="C65" i="2" s="1"/>
  <c r="E117" i="2" s="1"/>
  <c r="H205" i="2"/>
  <c r="I205" i="2" s="1"/>
  <c r="J9" i="2"/>
  <c r="H239" i="2"/>
  <c r="I239" i="2" s="1"/>
  <c r="J43" i="2"/>
  <c r="C95" i="2" s="1"/>
  <c r="E147" i="2" s="1"/>
  <c r="H237" i="2"/>
  <c r="I237" i="2" s="1"/>
  <c r="J41" i="2"/>
  <c r="C93" i="2" s="1"/>
  <c r="E145" i="2" s="1"/>
  <c r="H220" i="2"/>
  <c r="I220" i="2" s="1"/>
  <c r="J24" i="2"/>
  <c r="C76" i="2" s="1"/>
  <c r="E128" i="2" s="1"/>
  <c r="H219" i="2"/>
  <c r="I219" i="2" s="1"/>
  <c r="J23" i="2"/>
  <c r="C75" i="2" s="1"/>
  <c r="E127" i="2" s="1"/>
  <c r="H214" i="2"/>
  <c r="I214" i="2" s="1"/>
  <c r="J18" i="2"/>
  <c r="C70" i="2" s="1"/>
  <c r="E122" i="2" s="1"/>
  <c r="H215" i="2"/>
  <c r="I215" i="2" s="1"/>
  <c r="J19" i="2"/>
  <c r="C71" i="2" s="1"/>
  <c r="E123" i="2" s="1"/>
  <c r="H245" i="2"/>
  <c r="I245" i="2" s="1"/>
  <c r="J49" i="2"/>
  <c r="C101" i="2" s="1"/>
  <c r="E153" i="2" s="1"/>
  <c r="H244" i="2"/>
  <c r="I244" i="2" s="1"/>
  <c r="J48" i="2"/>
  <c r="C100" i="2" s="1"/>
  <c r="E152" i="2" s="1"/>
  <c r="H227" i="2"/>
  <c r="I227" i="2" s="1"/>
  <c r="J31" i="2"/>
  <c r="C83" i="2" s="1"/>
  <c r="E135" i="2" s="1"/>
  <c r="H242" i="2"/>
  <c r="I242" i="2" s="1"/>
  <c r="J46" i="2"/>
  <c r="C98" i="2" s="1"/>
  <c r="E150" i="2" s="1"/>
  <c r="H225" i="2"/>
  <c r="I225" i="2" s="1"/>
  <c r="J29" i="2"/>
  <c r="C81" i="2" s="1"/>
  <c r="E133" i="2" s="1"/>
  <c r="H224" i="2"/>
  <c r="I224" i="2" s="1"/>
  <c r="J28" i="2"/>
  <c r="C80" i="2" s="1"/>
  <c r="E132" i="2" s="1"/>
  <c r="H238" i="2"/>
  <c r="I238" i="2" s="1"/>
  <c r="J42" i="2"/>
  <c r="C94" i="2" s="1"/>
  <c r="E146" i="2" s="1"/>
  <c r="H208" i="2"/>
  <c r="I208" i="2" s="1"/>
  <c r="J12" i="2"/>
  <c r="C64" i="2" s="1"/>
  <c r="E116" i="2" s="1"/>
  <c r="H221" i="2"/>
  <c r="I221" i="2" s="1"/>
  <c r="J25" i="2"/>
  <c r="C77" i="2" s="1"/>
  <c r="E129" i="2" s="1"/>
  <c r="H207" i="2"/>
  <c r="I207" i="2" s="1"/>
  <c r="J11" i="2"/>
  <c r="C63" i="2" s="1"/>
  <c r="E115" i="2" s="1"/>
  <c r="H248" i="2"/>
  <c r="I248" i="2" s="1"/>
  <c r="J52" i="2"/>
  <c r="C104" i="2" s="1"/>
  <c r="E156" i="2" s="1"/>
  <c r="H235" i="2"/>
  <c r="I235" i="2" s="1"/>
  <c r="J39" i="2"/>
  <c r="C91" i="2" s="1"/>
  <c r="E143" i="2" s="1"/>
  <c r="H234" i="2"/>
  <c r="I234" i="2" s="1"/>
  <c r="J38" i="2"/>
  <c r="C90" i="2" s="1"/>
  <c r="E142" i="2" s="1"/>
  <c r="H218" i="2"/>
  <c r="I218" i="2" s="1"/>
  <c r="J22" i="2"/>
  <c r="C74" i="2" s="1"/>
  <c r="E126" i="2" s="1"/>
  <c r="J55" i="2"/>
  <c r="C107" i="2" s="1"/>
  <c r="E159" i="2" s="1"/>
  <c r="H232" i="2"/>
  <c r="I232" i="2" s="1"/>
  <c r="J36" i="2"/>
  <c r="C88" i="2" s="1"/>
  <c r="E140" i="2" s="1"/>
  <c r="H249" i="2"/>
  <c r="I249" i="2" s="1"/>
  <c r="J53" i="2"/>
  <c r="C105" i="2" s="1"/>
  <c r="E157" i="2" s="1"/>
  <c r="H230" i="2"/>
  <c r="I230" i="2" s="1"/>
  <c r="J34" i="2"/>
  <c r="C86" i="2" s="1"/>
  <c r="E138" i="2" s="1"/>
  <c r="H229" i="2"/>
  <c r="I229" i="2" s="1"/>
  <c r="J33" i="2"/>
  <c r="C85" i="2" s="1"/>
  <c r="E137" i="2" s="1"/>
  <c r="H211" i="2"/>
  <c r="I211" i="2" s="1"/>
  <c r="J15" i="2"/>
  <c r="C67" i="2" s="1"/>
  <c r="E119" i="2" s="1"/>
  <c r="H243" i="2"/>
  <c r="I243" i="2" s="1"/>
  <c r="J47" i="2"/>
  <c r="C99" i="2" s="1"/>
  <c r="E151" i="2" s="1"/>
  <c r="H210" i="2"/>
  <c r="I210" i="2" s="1"/>
  <c r="J14" i="2"/>
  <c r="C66" i="2" s="1"/>
  <c r="E118" i="2" s="1"/>
  <c r="H241" i="2"/>
  <c r="I241" i="2" s="1"/>
  <c r="J45" i="2"/>
  <c r="C97" i="2" s="1"/>
  <c r="E149" i="2" s="1"/>
  <c r="H240" i="2"/>
  <c r="I240" i="2" s="1"/>
  <c r="J44" i="2"/>
  <c r="C96" i="2" s="1"/>
  <c r="E148" i="2" s="1"/>
  <c r="H223" i="2"/>
  <c r="I223" i="2" s="1"/>
  <c r="J27" i="2"/>
  <c r="C79" i="2" s="1"/>
  <c r="E131" i="2" s="1"/>
  <c r="H222" i="2"/>
  <c r="I222" i="2" s="1"/>
  <c r="J26" i="2"/>
  <c r="C78" i="2" s="1"/>
  <c r="E130" i="2" s="1"/>
  <c r="H206" i="2"/>
  <c r="I206" i="2" s="1"/>
  <c r="J10" i="2"/>
  <c r="C62" i="2" s="1"/>
  <c r="E114" i="2" s="1"/>
  <c r="H236" i="2"/>
  <c r="I236" i="2" s="1"/>
  <c r="J40" i="2"/>
  <c r="C92" i="2" s="1"/>
  <c r="E144" i="2" s="1"/>
  <c r="H250" i="2"/>
  <c r="I250" i="2" s="1"/>
  <c r="J54" i="2"/>
  <c r="C106" i="2" s="1"/>
  <c r="E158" i="2" s="1"/>
  <c r="H233" i="2"/>
  <c r="I233" i="2" s="1"/>
  <c r="J37" i="2"/>
  <c r="C89" i="2" s="1"/>
  <c r="E141" i="2" s="1"/>
  <c r="H217" i="2"/>
  <c r="I217" i="2" s="1"/>
  <c r="J21" i="2"/>
  <c r="C73" i="2" s="1"/>
  <c r="E125" i="2" s="1"/>
  <c r="I96" i="1"/>
  <c r="J96" i="1" s="1"/>
  <c r="F98" i="1"/>
  <c r="H97" i="1"/>
  <c r="G97" i="1"/>
  <c r="C61" i="2" l="1"/>
  <c r="E113" i="2" s="1"/>
  <c r="G183" i="2" s="1"/>
  <c r="E112" i="2"/>
  <c r="G179" i="2" s="1"/>
  <c r="G187" i="2"/>
  <c r="G191" i="2"/>
  <c r="I252" i="2"/>
  <c r="I97" i="1"/>
  <c r="J97" i="1" s="1"/>
  <c r="F99" i="1"/>
  <c r="H98" i="1"/>
  <c r="G98" i="1"/>
  <c r="C58" i="2" l="1"/>
  <c r="J119" i="2" s="1"/>
  <c r="I98" i="1"/>
  <c r="J98" i="1" s="1"/>
  <c r="F100" i="1"/>
  <c r="H99" i="1"/>
  <c r="G99" i="1"/>
  <c r="I99" i="1" s="1"/>
  <c r="J99" i="1" s="1"/>
  <c r="D112" i="2" l="1"/>
  <c r="F112" i="2" s="1"/>
  <c r="C113" i="2" s="1"/>
  <c r="F101" i="1"/>
  <c r="H100" i="1"/>
  <c r="G100" i="1"/>
  <c r="I100" i="1" s="1"/>
  <c r="J100" i="1" s="1"/>
  <c r="D204" i="2" l="1"/>
  <c r="F177" i="2"/>
  <c r="F178" i="2" s="1"/>
  <c r="D113" i="2"/>
  <c r="F113" i="2" s="1"/>
  <c r="C114" i="2" s="1"/>
  <c r="H101" i="1"/>
  <c r="G101" i="1"/>
  <c r="F102" i="1"/>
  <c r="D114" i="2" l="1"/>
  <c r="F114" i="2" s="1"/>
  <c r="C115" i="2" s="1"/>
  <c r="D205" i="2"/>
  <c r="F181" i="2"/>
  <c r="F182" i="2" s="1"/>
  <c r="F103" i="1"/>
  <c r="H102" i="1"/>
  <c r="G102" i="1"/>
  <c r="I101" i="1"/>
  <c r="J101" i="1" s="1"/>
  <c r="D115" i="2" l="1"/>
  <c r="F115" i="2" s="1"/>
  <c r="C116" i="2" s="1"/>
  <c r="D206" i="2"/>
  <c r="F185" i="2"/>
  <c r="F186" i="2" s="1"/>
  <c r="I102" i="1"/>
  <c r="J102" i="1" s="1"/>
  <c r="F104" i="1"/>
  <c r="H103" i="1"/>
  <c r="G103" i="1"/>
  <c r="D116" i="2" l="1"/>
  <c r="F116" i="2" s="1"/>
  <c r="C117" i="2" s="1"/>
  <c r="D334" i="2"/>
  <c r="D336" i="2" s="1"/>
  <c r="D337" i="2" s="1"/>
  <c r="I103" i="1"/>
  <c r="J103" i="1" s="1"/>
  <c r="F105" i="1"/>
  <c r="G104" i="1"/>
  <c r="H104" i="1"/>
  <c r="D117" i="2" l="1"/>
  <c r="F117" i="2" s="1"/>
  <c r="C118" i="2" s="1"/>
  <c r="J115" i="2"/>
  <c r="D207" i="2"/>
  <c r="F189" i="2"/>
  <c r="F190" i="2" s="1"/>
  <c r="J190" i="2" s="1"/>
  <c r="I104" i="1"/>
  <c r="J104" i="1" s="1"/>
  <c r="F106" i="1"/>
  <c r="H105" i="1"/>
  <c r="G105" i="1"/>
  <c r="I105" i="1" s="1"/>
  <c r="J105" i="1" s="1"/>
  <c r="D118" i="2" l="1"/>
  <c r="F118" i="2" s="1"/>
  <c r="C119" i="2" s="1"/>
  <c r="D208" i="2"/>
  <c r="F107" i="1"/>
  <c r="H106" i="1"/>
  <c r="G106" i="1"/>
  <c r="D119" i="2" l="1"/>
  <c r="F119" i="2" s="1"/>
  <c r="C120" i="2" s="1"/>
  <c r="D209" i="2"/>
  <c r="I106" i="1"/>
  <c r="J106" i="1" s="1"/>
  <c r="F108" i="1"/>
  <c r="H107" i="1"/>
  <c r="G107" i="1"/>
  <c r="D120" i="2" l="1"/>
  <c r="F120" i="2" s="1"/>
  <c r="C121" i="2" s="1"/>
  <c r="I107" i="1"/>
  <c r="J107" i="1" s="1"/>
  <c r="H108" i="1"/>
  <c r="H109" i="1" s="1"/>
  <c r="G108" i="1"/>
  <c r="D121" i="2" l="1"/>
  <c r="F121" i="2" s="1"/>
  <c r="C122" i="2" s="1"/>
  <c r="D210" i="2"/>
  <c r="I108" i="1"/>
  <c r="G109" i="1"/>
  <c r="D122" i="2" l="1"/>
  <c r="F122" i="2" s="1"/>
  <c r="C123" i="2" s="1"/>
  <c r="D211" i="2"/>
  <c r="J108" i="1"/>
  <c r="J47" i="1" s="1"/>
  <c r="D54" i="1" s="1"/>
  <c r="I109" i="1"/>
  <c r="D123" i="2" l="1"/>
  <c r="F123" i="2" s="1"/>
  <c r="C124" i="2" s="1"/>
  <c r="D212" i="2"/>
  <c r="D124" i="2" l="1"/>
  <c r="F124" i="2" s="1"/>
  <c r="C125" i="2" s="1"/>
  <c r="D213" i="2"/>
  <c r="D125" i="2" l="1"/>
  <c r="F125" i="2" s="1"/>
  <c r="C126" i="2" s="1"/>
  <c r="D214" i="2"/>
  <c r="D126" i="2" l="1"/>
  <c r="F126" i="2" s="1"/>
  <c r="C127" i="2" s="1"/>
  <c r="D215" i="2"/>
  <c r="D127" i="2" l="1"/>
  <c r="F127" i="2" s="1"/>
  <c r="C128" i="2" s="1"/>
  <c r="D216" i="2"/>
  <c r="D217" i="2"/>
  <c r="D128" i="2" l="1"/>
  <c r="F128" i="2" s="1"/>
  <c r="C129" i="2" s="1"/>
  <c r="D218" i="2"/>
  <c r="D129" i="2" l="1"/>
  <c r="F129" i="2" s="1"/>
  <c r="C130" i="2" s="1"/>
  <c r="D219" i="2"/>
  <c r="D130" i="2" l="1"/>
  <c r="F130" i="2" s="1"/>
  <c r="C131" i="2" s="1"/>
  <c r="D220" i="2"/>
  <c r="E334" i="2"/>
  <c r="E336" i="2" s="1"/>
  <c r="E337" i="2" s="1"/>
  <c r="D131" i="2" l="1"/>
  <c r="F131" i="2" s="1"/>
  <c r="C132" i="2" s="1"/>
  <c r="D221" i="2"/>
  <c r="D132" i="2" l="1"/>
  <c r="F132" i="2" s="1"/>
  <c r="C133" i="2" s="1"/>
  <c r="D222" i="2"/>
  <c r="D133" i="2" l="1"/>
  <c r="F133" i="2" s="1"/>
  <c r="C134" i="2" s="1"/>
  <c r="D223" i="2"/>
  <c r="D134" i="2" l="1"/>
  <c r="F134" i="2" s="1"/>
  <c r="C135" i="2" s="1"/>
  <c r="D224" i="2"/>
  <c r="D135" i="2" l="1"/>
  <c r="F135" i="2" s="1"/>
  <c r="C136" i="2" s="1"/>
  <c r="D225" i="2"/>
  <c r="D136" i="2" l="1"/>
  <c r="F136" i="2" s="1"/>
  <c r="C137" i="2" s="1"/>
  <c r="D226" i="2"/>
  <c r="D137" i="2" l="1"/>
  <c r="F137" i="2" s="1"/>
  <c r="C138" i="2" s="1"/>
  <c r="D227" i="2"/>
  <c r="D138" i="2" l="1"/>
  <c r="F138" i="2" s="1"/>
  <c r="C139" i="2" s="1"/>
  <c r="D228" i="2"/>
  <c r="D139" i="2" l="1"/>
  <c r="F139" i="2" s="1"/>
  <c r="C140" i="2" s="1"/>
  <c r="D229" i="2"/>
  <c r="D140" i="2" l="1"/>
  <c r="F140" i="2" s="1"/>
  <c r="C141" i="2" s="1"/>
  <c r="D230" i="2"/>
  <c r="D141" i="2" l="1"/>
  <c r="F141" i="2" s="1"/>
  <c r="C142" i="2" s="1"/>
  <c r="D231" i="2"/>
  <c r="D142" i="2" l="1"/>
  <c r="F142" i="2" s="1"/>
  <c r="C143" i="2" s="1"/>
  <c r="D232" i="2"/>
  <c r="D143" i="2" l="1"/>
  <c r="F143" i="2" s="1"/>
  <c r="C144" i="2" s="1"/>
  <c r="F334" i="2"/>
  <c r="F336" i="2" s="1"/>
  <c r="F337" i="2" s="1"/>
  <c r="D233" i="2"/>
  <c r="D144" i="2" l="1"/>
  <c r="F144" i="2" s="1"/>
  <c r="C145" i="2" s="1"/>
  <c r="D234" i="2"/>
  <c r="D145" i="2" l="1"/>
  <c r="F145" i="2" s="1"/>
  <c r="C146" i="2" s="1"/>
  <c r="D235" i="2"/>
  <c r="D146" i="2" l="1"/>
  <c r="F146" i="2" s="1"/>
  <c r="C147" i="2" s="1"/>
  <c r="D236" i="2"/>
  <c r="D147" i="2" l="1"/>
  <c r="F147" i="2" s="1"/>
  <c r="C148" i="2" s="1"/>
  <c r="D237" i="2"/>
  <c r="D148" i="2" l="1"/>
  <c r="F148" i="2" s="1"/>
  <c r="C149" i="2" s="1"/>
  <c r="D238" i="2"/>
  <c r="D149" i="2" l="1"/>
  <c r="F149" i="2" s="1"/>
  <c r="C150" i="2" s="1"/>
  <c r="D239" i="2"/>
  <c r="D150" i="2" l="1"/>
  <c r="F150" i="2" s="1"/>
  <c r="C151" i="2" s="1"/>
  <c r="D240" i="2"/>
  <c r="D151" i="2" l="1"/>
  <c r="F151" i="2" s="1"/>
  <c r="C152" i="2" s="1"/>
  <c r="D241" i="2"/>
  <c r="D152" i="2" l="1"/>
  <c r="F152" i="2" s="1"/>
  <c r="C153" i="2" s="1"/>
  <c r="D242" i="2"/>
  <c r="D243" i="2"/>
  <c r="D153" i="2" l="1"/>
  <c r="F153" i="2" s="1"/>
  <c r="C154" i="2" s="1"/>
  <c r="D244" i="2"/>
  <c r="G334" i="2"/>
  <c r="G336" i="2" s="1"/>
  <c r="G337" i="2" s="1"/>
  <c r="D154" i="2" l="1"/>
  <c r="F154" i="2" s="1"/>
  <c r="C155" i="2" s="1"/>
  <c r="D245" i="2"/>
  <c r="D155" i="2" l="1"/>
  <c r="F155" i="2" s="1"/>
  <c r="C156" i="2" s="1"/>
  <c r="D246" i="2"/>
  <c r="D156" i="2" l="1"/>
  <c r="F156" i="2" s="1"/>
  <c r="C157" i="2" s="1"/>
  <c r="D247" i="2"/>
  <c r="D157" i="2" l="1"/>
  <c r="F157" i="2" s="1"/>
  <c r="C158" i="2" s="1"/>
  <c r="D248" i="2"/>
  <c r="D158" i="2" l="1"/>
  <c r="F158" i="2" s="1"/>
  <c r="C159" i="2" s="1"/>
  <c r="D249" i="2"/>
  <c r="D159" i="2" l="1"/>
  <c r="F159" i="2" s="1"/>
  <c r="D250" i="2"/>
  <c r="D251" i="2" l="1"/>
  <c r="H334" i="2" l="1"/>
  <c r="H336" i="2" s="1"/>
  <c r="H337" i="2" s="1"/>
  <c r="F256" i="2"/>
  <c r="D276" i="2" s="1"/>
  <c r="D257" i="2"/>
  <c r="E262" i="2" s="1"/>
  <c r="D252" i="2"/>
  <c r="H257" i="2"/>
  <c r="E257" i="2"/>
  <c r="F257" i="2"/>
  <c r="D256" i="2"/>
  <c r="D262" i="2" s="1"/>
  <c r="H256" i="2"/>
  <c r="D290" i="2" s="1"/>
  <c r="D291" i="2" s="1"/>
  <c r="D292" i="2" s="1"/>
  <c r="H290" i="2" s="1"/>
  <c r="G257" i="2"/>
  <c r="E256" i="2"/>
  <c r="D269" i="2" s="1"/>
  <c r="G256" i="2"/>
  <c r="D283" i="2" s="1"/>
  <c r="D284" i="2" s="1"/>
  <c r="D285" i="2" s="1"/>
  <c r="H283" i="2" s="1"/>
  <c r="H321" i="2" l="1"/>
  <c r="E290" i="2"/>
  <c r="E291" i="2" s="1"/>
  <c r="E292" i="2" s="1"/>
  <c r="I291" i="2" s="1"/>
  <c r="H289" i="2" s="1"/>
  <c r="H306" i="2" s="1"/>
  <c r="G321" i="2"/>
  <c r="E283" i="2"/>
  <c r="E284" i="2" s="1"/>
  <c r="E285" i="2" s="1"/>
  <c r="I284" i="2" s="1"/>
  <c r="H282" i="2" s="1"/>
  <c r="G306" i="2" s="1"/>
  <c r="F321" i="2"/>
  <c r="E276" i="2"/>
  <c r="E321" i="2"/>
  <c r="E269" i="2"/>
  <c r="E263" i="2"/>
  <c r="D263" i="2"/>
  <c r="I257" i="2"/>
  <c r="I256" i="2"/>
  <c r="D321" i="2"/>
  <c r="G302" i="2"/>
  <c r="G303" i="2" s="1"/>
  <c r="G315" i="2" s="1"/>
  <c r="G318" i="2"/>
  <c r="H302" i="2"/>
  <c r="H303" i="2" s="1"/>
  <c r="H315" i="2" s="1"/>
  <c r="H318" i="2"/>
  <c r="E302" i="2"/>
  <c r="E303" i="2" s="1"/>
  <c r="E315" i="2" s="1"/>
  <c r="E318" i="2"/>
  <c r="F302" i="2"/>
  <c r="F303" i="2" s="1"/>
  <c r="F315" i="2" s="1"/>
  <c r="F318" i="2"/>
  <c r="D302" i="2"/>
  <c r="D303" i="2" s="1"/>
  <c r="D318" i="2"/>
  <c r="E264" i="2" l="1"/>
  <c r="D277" i="2"/>
  <c r="D278" i="2" s="1"/>
  <c r="H276" i="2" s="1"/>
  <c r="D264" i="2"/>
  <c r="D270" i="2"/>
  <c r="D271" i="2" s="1"/>
  <c r="H269" i="2" s="1"/>
  <c r="E323" i="2"/>
  <c r="E326" i="2" s="1"/>
  <c r="E305" i="2" s="1"/>
  <c r="H323" i="2"/>
  <c r="H326" i="2" s="1"/>
  <c r="H305" i="2" s="1"/>
  <c r="H311" i="2" s="1"/>
  <c r="G323" i="2"/>
  <c r="G326" i="2" s="1"/>
  <c r="G305" i="2" s="1"/>
  <c r="G311" i="2" s="1"/>
  <c r="F323" i="2"/>
  <c r="F326" i="2" s="1"/>
  <c r="F305" i="2" s="1"/>
  <c r="D315" i="2"/>
  <c r="D323" i="2" s="1"/>
  <c r="D326" i="2" s="1"/>
  <c r="D305" i="2" s="1"/>
  <c r="I263" i="2" l="1"/>
  <c r="E277" i="2"/>
  <c r="E278" i="2" s="1"/>
  <c r="I277" i="2" s="1"/>
  <c r="H275" i="2" s="1"/>
  <c r="H262" i="2"/>
  <c r="E270" i="2"/>
  <c r="E271" i="2" s="1"/>
  <c r="I270" i="2" s="1"/>
  <c r="H268" i="2" s="1"/>
  <c r="H307" i="2"/>
  <c r="H309" i="2" s="1"/>
  <c r="G307" i="2"/>
  <c r="G309" i="2" s="1"/>
  <c r="E306" i="2" l="1"/>
  <c r="E307" i="2" s="1"/>
  <c r="E309" i="2" s="1"/>
  <c r="F306" i="2"/>
  <c r="F307" i="2" s="1"/>
  <c r="F309" i="2" s="1"/>
  <c r="E311" i="2"/>
  <c r="H294" i="2"/>
  <c r="I261" i="2"/>
  <c r="D306" i="2" s="1"/>
  <c r="F311" i="2" l="1"/>
  <c r="I294" i="2"/>
  <c r="D311" i="2"/>
  <c r="D307" i="2" l="1"/>
  <c r="D309" i="2" s="1"/>
</calcChain>
</file>

<file path=xl/sharedStrings.xml><?xml version="1.0" encoding="utf-8"?>
<sst xmlns="http://schemas.openxmlformats.org/spreadsheetml/2006/main" count="439" uniqueCount="167">
  <si>
    <t>MATEMATICAS/ FINANZAS/ NIIF</t>
  </si>
  <si>
    <t>TEMA 1</t>
  </si>
  <si>
    <t>LA NORMA NIC1 (NIIF 18) - la presentación</t>
  </si>
  <si>
    <t>1.-Revelación sobre administración de capital financiero</t>
  </si>
  <si>
    <t>ESF</t>
  </si>
  <si>
    <t>Activos corrientes</t>
  </si>
  <si>
    <t>Pasivos corrientes</t>
  </si>
  <si>
    <t>Capital de trabajo: Activos Ctes -Pasivos Ctes</t>
  </si>
  <si>
    <t>Activos de Larga</t>
  </si>
  <si>
    <t>Duración</t>
  </si>
  <si>
    <t>Capital Expenditure: Activos de Larga Duración</t>
  </si>
  <si>
    <t>Pasivos financieros</t>
  </si>
  <si>
    <t>Patrimonio</t>
  </si>
  <si>
    <t>Capital financiero : Deuda Financiera + Patrim.</t>
  </si>
  <si>
    <t>Esc1</t>
  </si>
  <si>
    <t>Esc2</t>
  </si>
  <si>
    <t>Esc3</t>
  </si>
  <si>
    <t>Esc4</t>
  </si>
  <si>
    <t>Utilidad</t>
  </si>
  <si>
    <t>Deuda fin</t>
  </si>
  <si>
    <t>Capital financiero</t>
  </si>
  <si>
    <t>ROE</t>
  </si>
  <si>
    <t>Costo del Capital financiero</t>
  </si>
  <si>
    <t>Estructura Capital financiero</t>
  </si>
  <si>
    <t>WACC</t>
  </si>
  <si>
    <t>Para medir el valor en uso de los PPE - NIC 36</t>
  </si>
  <si>
    <t>Para medir el valor el valor razonable - NIC 41</t>
  </si>
  <si>
    <t>Para medir el valor el valor razonable de las empresas - NIIF 13</t>
  </si>
  <si>
    <t>2.Presentación corto y largo plazo</t>
  </si>
  <si>
    <t>Para un préstamo por pagar</t>
  </si>
  <si>
    <t>Prestamo</t>
  </si>
  <si>
    <t>Tasa</t>
  </si>
  <si>
    <t>Plazo</t>
  </si>
  <si>
    <t>P</t>
  </si>
  <si>
    <t>I</t>
  </si>
  <si>
    <t>T</t>
  </si>
  <si>
    <t>Comisión</t>
  </si>
  <si>
    <t>CP</t>
  </si>
  <si>
    <t>CONTABILIDAD INTERNACIONALES</t>
  </si>
  <si>
    <t>Contrato</t>
  </si>
  <si>
    <t>Numero de pagos</t>
  </si>
  <si>
    <t>FORMA</t>
  </si>
  <si>
    <t>EXTRACTO BANCARIO</t>
  </si>
  <si>
    <t>Abono por prestamo…</t>
  </si>
  <si>
    <t>SUSTANCIA</t>
  </si>
  <si>
    <t>Contrato en sustancia</t>
  </si>
  <si>
    <t>Pagos en efectivo</t>
  </si>
  <si>
    <t>TEMA 2</t>
  </si>
  <si>
    <t>EL COSTO AMORTIZADO</t>
  </si>
  <si>
    <t>LA TRANSFORMADA DE LLANTO</t>
  </si>
  <si>
    <t>EFECTIVO</t>
  </si>
  <si>
    <t>PRESTAMO POR PAGAR</t>
  </si>
  <si>
    <t>D</t>
  </si>
  <si>
    <t>H</t>
  </si>
  <si>
    <t>T=0</t>
  </si>
  <si>
    <t>T=1</t>
  </si>
  <si>
    <t>GASTO FINANCIERO</t>
  </si>
  <si>
    <t>SALDO DE LA DEUDA</t>
  </si>
  <si>
    <t>1.- El costo amortizado te hará libre !!!!</t>
  </si>
  <si>
    <t>CASO 1:</t>
  </si>
  <si>
    <t>PRESTAMO</t>
  </si>
  <si>
    <t>TASA MENSUAL</t>
  </si>
  <si>
    <t>PLAZO EN MESES</t>
  </si>
  <si>
    <t>COMISION</t>
  </si>
  <si>
    <t>Principal</t>
  </si>
  <si>
    <t>Interes</t>
  </si>
  <si>
    <t>Total</t>
  </si>
  <si>
    <t>Seguro</t>
  </si>
  <si>
    <t>Otros</t>
  </si>
  <si>
    <t>PASO 1:</t>
  </si>
  <si>
    <t>MEDIR LA TASA EFECTIVA</t>
  </si>
  <si>
    <t>&lt;===</t>
  </si>
  <si>
    <t>EL MONTO DESEMBOLSADO POR EL BANCO</t>
  </si>
  <si>
    <t>TODO LO QUE SE PAGARÁ</t>
  </si>
  <si>
    <t>TODO</t>
  </si>
  <si>
    <t>TIR=</t>
  </si>
  <si>
    <t>PASO 2:</t>
  </si>
  <si>
    <t>CUADRO DEL COSTO AMORTIZADO (NIIF 9)</t>
  </si>
  <si>
    <t>SALDO</t>
  </si>
  <si>
    <t>INICIAL</t>
  </si>
  <si>
    <t>(+) Gasto</t>
  </si>
  <si>
    <t>Financi.</t>
  </si>
  <si>
    <t>(-)</t>
  </si>
  <si>
    <t>Pagos</t>
  </si>
  <si>
    <t>FINAL</t>
  </si>
  <si>
    <t>PASO 3:</t>
  </si>
  <si>
    <t>ASIENTOS CONTABLES</t>
  </si>
  <si>
    <t>Reconocimiento inicial</t>
  </si>
  <si>
    <t>NIIF 9</t>
  </si>
  <si>
    <t>Los pasivos se miden a valor razonable en el reconocmiento inicial</t>
  </si>
  <si>
    <t>El valor razonable es el monto de la contraprestación (billete)</t>
  </si>
  <si>
    <t>Tratamiento posterior</t>
  </si>
  <si>
    <t>(-) Se decrementa por los pagos</t>
  </si>
  <si>
    <t>Mes</t>
  </si>
  <si>
    <t>NIIF 9: Se mide al costo amortizado</t>
  </si>
  <si>
    <t>SEP</t>
  </si>
  <si>
    <t>OCT</t>
  </si>
  <si>
    <t>NOV</t>
  </si>
  <si>
    <t>DIC</t>
  </si>
  <si>
    <t>SALDO SEGÚN</t>
  </si>
  <si>
    <t>COSTO AMORTIZADO</t>
  </si>
  <si>
    <t>LOS ASIENTOS</t>
  </si>
  <si>
    <t>LAS FINANZAS</t>
  </si>
  <si>
    <t>Calendario de pagos</t>
  </si>
  <si>
    <t>ENFOQUE TRIBUTARIO</t>
  </si>
  <si>
    <t>Tratamiento tributario</t>
  </si>
  <si>
    <t>* La comisión de desembolso es gasto cuando recibes el préstamo</t>
  </si>
  <si>
    <t>* Los otros gastos se devengan de acuerdo con el calendario</t>
  </si>
  <si>
    <t>Costos</t>
  </si>
  <si>
    <t>NIIF</t>
  </si>
  <si>
    <t>Financ</t>
  </si>
  <si>
    <t>Financ según TAX</t>
  </si>
  <si>
    <t>Comision</t>
  </si>
  <si>
    <t>Interese</t>
  </si>
  <si>
    <t>Seguros</t>
  </si>
  <si>
    <t>Suma</t>
  </si>
  <si>
    <t>TAX</t>
  </si>
  <si>
    <t>Pagar</t>
  </si>
  <si>
    <t>Gastar</t>
  </si>
  <si>
    <t>VALOR EN LIBROS</t>
  </si>
  <si>
    <t>BASE FISCAL</t>
  </si>
  <si>
    <t>Año 1</t>
  </si>
  <si>
    <t>Año 2</t>
  </si>
  <si>
    <t>Año 3</t>
  </si>
  <si>
    <t>Año 4</t>
  </si>
  <si>
    <t>Año 5</t>
  </si>
  <si>
    <t>CONTABILIDAD INTERNACIONAL: FAS ESCUELA DE CONTADORES</t>
  </si>
  <si>
    <t>Simulaciones del estado de resultados</t>
  </si>
  <si>
    <t>Ventas</t>
  </si>
  <si>
    <t>Costo de ventas</t>
  </si>
  <si>
    <t xml:space="preserve">Gastos de Adm </t>
  </si>
  <si>
    <t>Gastos de Ventas</t>
  </si>
  <si>
    <t>Gastos financieros</t>
  </si>
  <si>
    <t>Utilidad antes de imp</t>
  </si>
  <si>
    <t>Impuesto a la renta</t>
  </si>
  <si>
    <t>Corriente</t>
  </si>
  <si>
    <t>Diferido</t>
  </si>
  <si>
    <t>Utilidad neta</t>
  </si>
  <si>
    <t>UTILIDAD CONTABLE</t>
  </si>
  <si>
    <t>(+) GASTO FIN</t>
  </si>
  <si>
    <t>(-) GASTO FIN</t>
  </si>
  <si>
    <t>UTILIDAD TAX</t>
  </si>
  <si>
    <t xml:space="preserve">IMPUESTO </t>
  </si>
  <si>
    <t>CORRIENTE</t>
  </si>
  <si>
    <t>METODO DE LOS GURUS</t>
  </si>
  <si>
    <t>PASIVO FINANCIERO</t>
  </si>
  <si>
    <t>DESEMBOLSO</t>
  </si>
  <si>
    <t>EL DINERO</t>
  </si>
  <si>
    <t>EL BILLETE</t>
  </si>
  <si>
    <t>1. Cual es el Principal?</t>
  </si>
  <si>
    <t>2.El seguro es costo financi?</t>
  </si>
  <si>
    <t>Si</t>
  </si>
  <si>
    <t>tasa efectiva</t>
  </si>
  <si>
    <t xml:space="preserve">(+) Se incrementa por los devengos de intereses </t>
  </si>
  <si>
    <t xml:space="preserve">       (medidos con tasa efectiva)</t>
  </si>
  <si>
    <t>* Los intereses se devengan de acuerdo con el calendario del Banco</t>
  </si>
  <si>
    <t>* Los seguros se devengan de acuerdo con el calendario del Banco</t>
  </si>
  <si>
    <t>DEVENGADO DE GASTOS FINANCIEROS</t>
  </si>
  <si>
    <t>VENTAS</t>
  </si>
  <si>
    <t>GASTOS</t>
  </si>
  <si>
    <t>UTILIDAD</t>
  </si>
  <si>
    <t>Imp Rta</t>
  </si>
  <si>
    <t>Impuesto por pagar</t>
  </si>
  <si>
    <t>Gasto por IR</t>
  </si>
  <si>
    <t>Pasivo IRD</t>
  </si>
  <si>
    <t>Para el Accionista</t>
  </si>
  <si>
    <t>Gasto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</si>
</sst>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b/>
      <sz val="20"/>
      <color rgb="FFFF0000"/>
      <name val="Calibri"/>
      <family val="2"/>
    </font>
    <font>
      <sz val="8"/>
      <name val="Aptos Narrow"/>
      <family val="2"/>
      <scheme val="minor"/>
    </font>
    <font>
      <b/>
      <i/>
      <sz val="20"/>
      <color theme="1"/>
      <name val="Calibri"/>
      <family val="2"/>
    </font>
    <font>
      <sz val="20"/>
      <color theme="0"/>
      <name val="Calibri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16"/>
      <color rgb="FF0070C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i/>
      <sz val="16"/>
      <color theme="0"/>
      <name val="Aptos Narrow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0" borderId="0" xfId="0" applyFont="1"/>
    <xf numFmtId="0" fontId="8" fillId="0" borderId="0" xfId="0" applyFont="1"/>
    <xf numFmtId="0" fontId="3" fillId="8" borderId="0" xfId="0" applyFont="1" applyFill="1"/>
    <xf numFmtId="0" fontId="6" fillId="8" borderId="0" xfId="0" applyFont="1" applyFill="1"/>
    <xf numFmtId="0" fontId="6" fillId="9" borderId="0" xfId="0" applyFont="1" applyFill="1"/>
    <xf numFmtId="9" fontId="6" fillId="0" borderId="0" xfId="2" applyFont="1"/>
    <xf numFmtId="9" fontId="6" fillId="9" borderId="0" xfId="2" applyFont="1" applyFill="1"/>
    <xf numFmtId="0" fontId="3" fillId="10" borderId="2" xfId="0" applyFont="1" applyFill="1" applyBorder="1"/>
    <xf numFmtId="0" fontId="3" fillId="10" borderId="3" xfId="0" applyFont="1" applyFill="1" applyBorder="1"/>
    <xf numFmtId="10" fontId="3" fillId="10" borderId="3" xfId="2" applyNumberFormat="1" applyFont="1" applyFill="1" applyBorder="1"/>
    <xf numFmtId="10" fontId="3" fillId="10" borderId="4" xfId="2" applyNumberFormat="1" applyFont="1" applyFill="1" applyBorder="1"/>
    <xf numFmtId="9" fontId="7" fillId="0" borderId="0" xfId="2" applyFont="1"/>
    <xf numFmtId="0" fontId="10" fillId="0" borderId="0" xfId="0" applyFont="1"/>
    <xf numFmtId="2" fontId="6" fillId="0" borderId="0" xfId="0" applyNumberFormat="1" applyFont="1"/>
    <xf numFmtId="0" fontId="6" fillId="10" borderId="0" xfId="0" applyFont="1" applyFill="1"/>
    <xf numFmtId="2" fontId="6" fillId="10" borderId="0" xfId="0" applyNumberFormat="1" applyFont="1" applyFill="1"/>
    <xf numFmtId="0" fontId="6" fillId="11" borderId="0" xfId="0" applyFont="1" applyFill="1"/>
    <xf numFmtId="2" fontId="6" fillId="11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2" fontId="6" fillId="0" borderId="6" xfId="0" applyNumberFormat="1" applyFont="1" applyBorder="1"/>
    <xf numFmtId="0" fontId="6" fillId="0" borderId="8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6" fillId="7" borderId="6" xfId="0" applyNumberFormat="1" applyFont="1" applyFill="1" applyBorder="1"/>
    <xf numFmtId="2" fontId="6" fillId="7" borderId="0" xfId="0" applyNumberFormat="1" applyFont="1" applyFill="1" applyBorder="1"/>
    <xf numFmtId="2" fontId="6" fillId="7" borderId="11" xfId="0" applyNumberFormat="1" applyFont="1" applyFill="1" applyBorder="1"/>
    <xf numFmtId="0" fontId="6" fillId="12" borderId="0" xfId="0" applyFont="1" applyFill="1"/>
    <xf numFmtId="10" fontId="6" fillId="12" borderId="0" xfId="0" applyNumberFormat="1" applyFont="1" applyFill="1"/>
    <xf numFmtId="9" fontId="6" fillId="10" borderId="0" xfId="0" applyNumberFormat="1" applyFont="1" applyFill="1"/>
    <xf numFmtId="2" fontId="10" fillId="0" borderId="0" xfId="0" applyNumberFormat="1" applyFont="1"/>
    <xf numFmtId="10" fontId="4" fillId="13" borderId="0" xfId="0" applyNumberFormat="1" applyFont="1" applyFill="1"/>
    <xf numFmtId="0" fontId="3" fillId="14" borderId="0" xfId="0" applyFont="1" applyFill="1"/>
    <xf numFmtId="0" fontId="6" fillId="14" borderId="0" xfId="0" applyFont="1" applyFill="1"/>
    <xf numFmtId="0" fontId="10" fillId="14" borderId="0" xfId="0" applyFont="1" applyFill="1"/>
    <xf numFmtId="0" fontId="11" fillId="15" borderId="0" xfId="0" applyFont="1" applyFill="1"/>
    <xf numFmtId="0" fontId="6" fillId="0" borderId="9" xfId="0" applyFont="1" applyBorder="1"/>
    <xf numFmtId="0" fontId="6" fillId="0" borderId="12" xfId="0" applyFont="1" applyBorder="1"/>
    <xf numFmtId="0" fontId="11" fillId="15" borderId="5" xfId="0" applyFont="1" applyFill="1" applyBorder="1"/>
    <xf numFmtId="0" fontId="11" fillId="15" borderId="6" xfId="0" applyFont="1" applyFill="1" applyBorder="1"/>
    <xf numFmtId="0" fontId="11" fillId="15" borderId="7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0" fontId="6" fillId="8" borderId="8" xfId="0" applyFont="1" applyFill="1" applyBorder="1"/>
    <xf numFmtId="0" fontId="6" fillId="8" borderId="0" xfId="0" applyFont="1" applyFill="1" applyBorder="1"/>
    <xf numFmtId="0" fontId="6" fillId="8" borderId="9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7" xfId="0" applyFont="1" applyFill="1" applyBorder="1"/>
    <xf numFmtId="2" fontId="7" fillId="10" borderId="7" xfId="0" applyNumberFormat="1" applyFont="1" applyFill="1" applyBorder="1"/>
    <xf numFmtId="2" fontId="7" fillId="10" borderId="9" xfId="0" applyNumberFormat="1" applyFont="1" applyFill="1" applyBorder="1"/>
    <xf numFmtId="2" fontId="7" fillId="10" borderId="12" xfId="0" applyNumberFormat="1" applyFont="1" applyFill="1" applyBorder="1"/>
    <xf numFmtId="0" fontId="6" fillId="16" borderId="0" xfId="0" applyFont="1" applyFill="1"/>
    <xf numFmtId="9" fontId="6" fillId="16" borderId="0" xfId="0" applyNumberFormat="1" applyFont="1" applyFill="1"/>
    <xf numFmtId="0" fontId="3" fillId="16" borderId="0" xfId="0" applyFont="1" applyFill="1" applyAlignment="1">
      <alignment horizontal="center"/>
    </xf>
    <xf numFmtId="43" fontId="6" fillId="16" borderId="0" xfId="1" applyFont="1" applyFill="1"/>
    <xf numFmtId="10" fontId="6" fillId="16" borderId="0" xfId="0" applyNumberFormat="1" applyFont="1" applyFill="1"/>
    <xf numFmtId="0" fontId="8" fillId="16" borderId="0" xfId="0" applyFont="1" applyFill="1"/>
    <xf numFmtId="9" fontId="8" fillId="16" borderId="0" xfId="0" applyNumberFormat="1" applyFont="1" applyFill="1"/>
    <xf numFmtId="10" fontId="8" fillId="16" borderId="0" xfId="0" applyNumberFormat="1" applyFont="1" applyFill="1"/>
    <xf numFmtId="43" fontId="4" fillId="17" borderId="0" xfId="1" applyFont="1" applyFill="1"/>
    <xf numFmtId="2" fontId="6" fillId="12" borderId="0" xfId="0" applyNumberFormat="1" applyFont="1" applyFill="1"/>
    <xf numFmtId="2" fontId="3" fillId="16" borderId="0" xfId="0" applyNumberFormat="1" applyFont="1" applyFill="1"/>
    <xf numFmtId="10" fontId="4" fillId="18" borderId="0" xfId="0" applyNumberFormat="1" applyFont="1" applyFill="1"/>
    <xf numFmtId="43" fontId="3" fillId="19" borderId="0" xfId="1" applyFont="1" applyFill="1"/>
    <xf numFmtId="0" fontId="3" fillId="8" borderId="8" xfId="0" applyFont="1" applyFill="1" applyBorder="1"/>
    <xf numFmtId="0" fontId="6" fillId="10" borderId="8" xfId="0" applyFont="1" applyFill="1" applyBorder="1"/>
    <xf numFmtId="0" fontId="6" fillId="10" borderId="0" xfId="0" applyFont="1" applyFill="1" applyBorder="1"/>
    <xf numFmtId="2" fontId="6" fillId="10" borderId="9" xfId="0" applyNumberFormat="1" applyFont="1" applyFill="1" applyBorder="1"/>
    <xf numFmtId="9" fontId="6" fillId="10" borderId="0" xfId="0" applyNumberFormat="1" applyFont="1" applyFill="1" applyBorder="1"/>
    <xf numFmtId="10" fontId="6" fillId="10" borderId="9" xfId="0" applyNumberFormat="1" applyFont="1" applyFill="1" applyBorder="1"/>
    <xf numFmtId="0" fontId="6" fillId="10" borderId="9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6" fillId="16" borderId="8" xfId="0" applyFont="1" applyFill="1" applyBorder="1"/>
    <xf numFmtId="0" fontId="3" fillId="16" borderId="0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43" fontId="6" fillId="8" borderId="0" xfId="1" applyFont="1" applyFill="1" applyBorder="1"/>
    <xf numFmtId="43" fontId="3" fillId="19" borderId="9" xfId="1" applyFont="1" applyFill="1" applyBorder="1"/>
    <xf numFmtId="43" fontId="4" fillId="17" borderId="11" xfId="1" applyFont="1" applyFill="1" applyBorder="1"/>
    <xf numFmtId="43" fontId="4" fillId="17" borderId="12" xfId="1" applyFont="1" applyFill="1" applyBorder="1"/>
    <xf numFmtId="0" fontId="6" fillId="3" borderId="0" xfId="0" applyFont="1" applyFill="1"/>
    <xf numFmtId="1" fontId="6" fillId="3" borderId="0" xfId="0" applyNumberFormat="1" applyFont="1" applyFill="1"/>
    <xf numFmtId="0" fontId="3" fillId="3" borderId="2" xfId="0" applyFont="1" applyFill="1" applyBorder="1"/>
    <xf numFmtId="0" fontId="6" fillId="3" borderId="3" xfId="0" applyFont="1" applyFill="1" applyBorder="1"/>
    <xf numFmtId="43" fontId="3" fillId="20" borderId="1" xfId="0" applyNumberFormat="1" applyFont="1" applyFill="1" applyBorder="1"/>
    <xf numFmtId="0" fontId="0" fillId="21" borderId="0" xfId="0" applyFill="1"/>
    <xf numFmtId="0" fontId="0" fillId="0" borderId="0" xfId="0" applyFill="1"/>
    <xf numFmtId="0" fontId="12" fillId="0" borderId="0" xfId="0" applyFont="1"/>
    <xf numFmtId="0" fontId="0" fillId="12" borderId="0" xfId="0" applyFill="1"/>
    <xf numFmtId="3" fontId="12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10" borderId="0" xfId="0" applyFont="1" applyFill="1"/>
    <xf numFmtId="0" fontId="13" fillId="22" borderId="0" xfId="0" applyFont="1" applyFill="1"/>
    <xf numFmtId="0" fontId="12" fillId="22" borderId="0" xfId="0" applyFont="1" applyFill="1"/>
    <xf numFmtId="0" fontId="0" fillId="22" borderId="0" xfId="0" applyFill="1"/>
    <xf numFmtId="0" fontId="13" fillId="2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23" borderId="0" xfId="0" applyFont="1" applyFill="1" applyAlignment="1">
      <alignment horizontal="center"/>
    </xf>
    <xf numFmtId="165" fontId="12" fillId="0" borderId="0" xfId="0" applyNumberFormat="1" applyFont="1"/>
    <xf numFmtId="0" fontId="13" fillId="3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3" fillId="24" borderId="0" xfId="0" applyFont="1" applyFill="1"/>
    <xf numFmtId="0" fontId="12" fillId="24" borderId="0" xfId="0" applyFont="1" applyFill="1"/>
    <xf numFmtId="0" fontId="13" fillId="8" borderId="0" xfId="0" applyFont="1" applyFill="1"/>
    <xf numFmtId="165" fontId="13" fillId="8" borderId="0" xfId="0" applyNumberFormat="1" applyFont="1" applyFill="1"/>
    <xf numFmtId="165" fontId="14" fillId="25" borderId="1" xfId="0" applyNumberFormat="1" applyFont="1" applyFill="1" applyBorder="1"/>
    <xf numFmtId="0" fontId="12" fillId="0" borderId="5" xfId="0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165" fontId="13" fillId="8" borderId="1" xfId="0" applyNumberFormat="1" applyFont="1" applyFill="1" applyBorder="1"/>
    <xf numFmtId="0" fontId="13" fillId="14" borderId="0" xfId="0" applyFont="1" applyFill="1" applyAlignment="1">
      <alignment horizontal="center"/>
    </xf>
    <xf numFmtId="3" fontId="12" fillId="14" borderId="0" xfId="0" applyNumberFormat="1" applyFont="1" applyFill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26" borderId="0" xfId="0" applyFont="1" applyFill="1"/>
    <xf numFmtId="165" fontId="13" fillId="26" borderId="0" xfId="0" applyNumberFormat="1" applyFont="1" applyFill="1"/>
    <xf numFmtId="165" fontId="13" fillId="26" borderId="1" xfId="0" applyNumberFormat="1" applyFont="1" applyFill="1" applyBorder="1"/>
    <xf numFmtId="0" fontId="13" fillId="26" borderId="13" xfId="0" applyFont="1" applyFill="1" applyBorder="1" applyAlignment="1">
      <alignment horizontal="center"/>
    </xf>
    <xf numFmtId="0" fontId="13" fillId="26" borderId="14" xfId="0" applyFont="1" applyFill="1" applyBorder="1" applyAlignment="1">
      <alignment horizontal="center"/>
    </xf>
    <xf numFmtId="0" fontId="12" fillId="26" borderId="15" xfId="0" applyFont="1" applyFill="1" applyBorder="1"/>
    <xf numFmtId="0" fontId="13" fillId="10" borderId="5" xfId="0" applyFont="1" applyFill="1" applyBorder="1"/>
    <xf numFmtId="0" fontId="12" fillId="10" borderId="6" xfId="0" applyFont="1" applyFill="1" applyBorder="1"/>
    <xf numFmtId="0" fontId="13" fillId="10" borderId="10" xfId="0" applyFont="1" applyFill="1" applyBorder="1"/>
    <xf numFmtId="0" fontId="12" fillId="10" borderId="11" xfId="0" applyFont="1" applyFill="1" applyBorder="1"/>
    <xf numFmtId="0" fontId="12" fillId="10" borderId="12" xfId="0" applyFont="1" applyFill="1" applyBorder="1"/>
    <xf numFmtId="0" fontId="17" fillId="26" borderId="0" xfId="0" applyFont="1" applyFill="1"/>
    <xf numFmtId="0" fontId="18" fillId="26" borderId="0" xfId="0" applyFont="1" applyFill="1"/>
    <xf numFmtId="165" fontId="13" fillId="0" borderId="0" xfId="0" applyNumberFormat="1" applyFont="1"/>
    <xf numFmtId="0" fontId="14" fillId="27" borderId="0" xfId="0" applyFont="1" applyFill="1"/>
    <xf numFmtId="0" fontId="12" fillId="14" borderId="0" xfId="0" applyFont="1" applyFill="1" applyAlignment="1">
      <alignment horizontal="center"/>
    </xf>
    <xf numFmtId="0" fontId="12" fillId="28" borderId="0" xfId="0" applyFont="1" applyFill="1"/>
    <xf numFmtId="0" fontId="12" fillId="26" borderId="0" xfId="0" applyFont="1" applyFill="1" applyAlignment="1">
      <alignment horizontal="center"/>
    </xf>
    <xf numFmtId="165" fontId="12" fillId="0" borderId="6" xfId="0" applyNumberFormat="1" applyFont="1" applyBorder="1"/>
    <xf numFmtId="165" fontId="12" fillId="29" borderId="7" xfId="0" applyNumberFormat="1" applyFont="1" applyFill="1" applyBorder="1"/>
    <xf numFmtId="165" fontId="12" fillId="0" borderId="0" xfId="0" applyNumberFormat="1" applyFont="1" applyBorder="1"/>
    <xf numFmtId="165" fontId="12" fillId="29" borderId="9" xfId="0" applyNumberFormat="1" applyFont="1" applyFill="1" applyBorder="1"/>
    <xf numFmtId="165" fontId="12" fillId="0" borderId="11" xfId="0" applyNumberFormat="1" applyFont="1" applyBorder="1"/>
    <xf numFmtId="165" fontId="12" fillId="29" borderId="12" xfId="0" applyNumberFormat="1" applyFont="1" applyFill="1" applyBorder="1"/>
    <xf numFmtId="0" fontId="13" fillId="4" borderId="0" xfId="0" applyFont="1" applyFill="1"/>
    <xf numFmtId="0" fontId="12" fillId="10" borderId="10" xfId="0" applyFont="1" applyFill="1" applyBorder="1"/>
    <xf numFmtId="0" fontId="20" fillId="30" borderId="0" xfId="0" applyFont="1" applyFill="1"/>
    <xf numFmtId="0" fontId="19" fillId="30" borderId="0" xfId="0" applyFont="1" applyFill="1"/>
    <xf numFmtId="0" fontId="21" fillId="12" borderId="0" xfId="0" applyFont="1" applyFill="1"/>
    <xf numFmtId="0" fontId="13" fillId="4" borderId="0" xfId="0" applyFont="1" applyFill="1" applyAlignment="1">
      <alignment horizontal="center"/>
    </xf>
    <xf numFmtId="165" fontId="12" fillId="14" borderId="0" xfId="0" applyNumberFormat="1" applyFont="1" applyFill="1"/>
    <xf numFmtId="9" fontId="1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15" fillId="0" borderId="0" xfId="0" applyFont="1"/>
    <xf numFmtId="0" fontId="15" fillId="0" borderId="5" xfId="0" applyFont="1" applyBorder="1"/>
    <xf numFmtId="0" fontId="13" fillId="4" borderId="8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22" fillId="0" borderId="8" xfId="0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9" xfId="0" applyNumberFormat="1" applyFont="1" applyBorder="1"/>
    <xf numFmtId="0" fontId="16" fillId="0" borderId="8" xfId="0" applyFont="1" applyBorder="1"/>
    <xf numFmtId="0" fontId="16" fillId="0" borderId="0" xfId="0" applyFont="1" applyBorder="1"/>
    <xf numFmtId="165" fontId="16" fillId="0" borderId="0" xfId="0" applyNumberFormat="1" applyFont="1" applyBorder="1"/>
    <xf numFmtId="165" fontId="16" fillId="0" borderId="9" xfId="0" applyNumberFormat="1" applyFont="1" applyBorder="1"/>
    <xf numFmtId="165" fontId="13" fillId="0" borderId="0" xfId="0" applyNumberFormat="1" applyFont="1" applyBorder="1"/>
    <xf numFmtId="165" fontId="13" fillId="0" borderId="9" xfId="0" applyNumberFormat="1" applyFont="1" applyBorder="1"/>
    <xf numFmtId="165" fontId="13" fillId="8" borderId="0" xfId="0" applyNumberFormat="1" applyFont="1" applyFill="1" applyBorder="1"/>
    <xf numFmtId="165" fontId="13" fillId="8" borderId="9" xfId="0" applyNumberFormat="1" applyFont="1" applyFill="1" applyBorder="1"/>
    <xf numFmtId="0" fontId="16" fillId="19" borderId="5" xfId="0" applyFont="1" applyFill="1" applyBorder="1"/>
    <xf numFmtId="0" fontId="16" fillId="19" borderId="6" xfId="0" applyFont="1" applyFill="1" applyBorder="1"/>
    <xf numFmtId="3" fontId="16" fillId="19" borderId="7" xfId="0" applyNumberFormat="1" applyFont="1" applyFill="1" applyBorder="1"/>
    <xf numFmtId="0" fontId="16" fillId="19" borderId="8" xfId="0" applyFont="1" applyFill="1" applyBorder="1"/>
    <xf numFmtId="0" fontId="16" fillId="19" borderId="0" xfId="0" applyFont="1" applyFill="1" applyBorder="1"/>
    <xf numFmtId="0" fontId="16" fillId="19" borderId="9" xfId="0" applyFont="1" applyFill="1" applyBorder="1"/>
    <xf numFmtId="0" fontId="15" fillId="10" borderId="2" xfId="0" applyFont="1" applyFill="1" applyBorder="1"/>
    <xf numFmtId="0" fontId="12" fillId="10" borderId="3" xfId="0" applyFont="1" applyFill="1" applyBorder="1"/>
    <xf numFmtId="0" fontId="12" fillId="10" borderId="4" xfId="0" applyFont="1" applyFill="1" applyBorder="1"/>
    <xf numFmtId="0" fontId="16" fillId="10" borderId="10" xfId="0" applyFont="1" applyFill="1" applyBorder="1"/>
    <xf numFmtId="0" fontId="16" fillId="10" borderId="11" xfId="0" applyFont="1" applyFill="1" applyBorder="1"/>
    <xf numFmtId="164" fontId="16" fillId="10" borderId="12" xfId="0" applyNumberFormat="1" applyFont="1" applyFill="1" applyBorder="1"/>
    <xf numFmtId="3" fontId="13" fillId="0" borderId="0" xfId="0" applyNumberFormat="1" applyFont="1"/>
    <xf numFmtId="0" fontId="12" fillId="10" borderId="5" xfId="0" applyFont="1" applyFill="1" applyBorder="1"/>
    <xf numFmtId="0" fontId="12" fillId="10" borderId="7" xfId="0" applyFont="1" applyFill="1" applyBorder="1"/>
    <xf numFmtId="0" fontId="12" fillId="10" borderId="8" xfId="0" applyFont="1" applyFill="1" applyBorder="1"/>
    <xf numFmtId="0" fontId="12" fillId="10" borderId="0" xfId="0" applyFont="1" applyFill="1" applyBorder="1"/>
    <xf numFmtId="3" fontId="13" fillId="10" borderId="9" xfId="0" applyNumberFormat="1" applyFont="1" applyFill="1" applyBorder="1"/>
    <xf numFmtId="0" fontId="16" fillId="10" borderId="8" xfId="0" applyFont="1" applyFill="1" applyBorder="1"/>
    <xf numFmtId="0" fontId="16" fillId="10" borderId="0" xfId="0" applyFont="1" applyFill="1" applyBorder="1"/>
    <xf numFmtId="164" fontId="16" fillId="10" borderId="9" xfId="0" applyNumberFormat="1" applyFont="1" applyFill="1" applyBorder="1"/>
    <xf numFmtId="164" fontId="13" fillId="10" borderId="0" xfId="0" applyNumberFormat="1" applyFont="1" applyFill="1"/>
    <xf numFmtId="165" fontId="12" fillId="10" borderId="0" xfId="0" applyNumberFormat="1" applyFont="1" applyFill="1"/>
    <xf numFmtId="165" fontId="12" fillId="24" borderId="1" xfId="0" applyNumberFormat="1" applyFont="1" applyFill="1" applyBorder="1"/>
    <xf numFmtId="0" fontId="14" fillId="21" borderId="0" xfId="0" applyFont="1" applyFill="1"/>
    <xf numFmtId="0" fontId="23" fillId="21" borderId="0" xfId="0" applyFont="1" applyFill="1"/>
    <xf numFmtId="0" fontId="14" fillId="21" borderId="0" xfId="0" applyFont="1" applyFill="1" applyAlignment="1">
      <alignment horizontal="center"/>
    </xf>
    <xf numFmtId="165" fontId="13" fillId="10" borderId="0" xfId="0" applyNumberFormat="1" applyFont="1" applyFill="1"/>
    <xf numFmtId="3" fontId="12" fillId="4" borderId="0" xfId="0" applyNumberFormat="1" applyFont="1" applyFill="1"/>
    <xf numFmtId="165" fontId="13" fillId="23" borderId="1" xfId="0" applyNumberFormat="1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/>
    <xf numFmtId="165" fontId="12" fillId="12" borderId="0" xfId="0" applyNumberFormat="1" applyFont="1" applyFill="1" applyBorder="1"/>
    <xf numFmtId="0" fontId="12" fillId="0" borderId="6" xfId="0" applyFont="1" applyFill="1" applyBorder="1"/>
    <xf numFmtId="165" fontId="12" fillId="12" borderId="6" xfId="0" applyNumberFormat="1" applyFont="1" applyFill="1" applyBorder="1"/>
    <xf numFmtId="165" fontId="12" fillId="0" borderId="6" xfId="0" applyNumberFormat="1" applyFont="1" applyFill="1" applyBorder="1"/>
    <xf numFmtId="0" fontId="12" fillId="0" borderId="11" xfId="0" applyFont="1" applyFill="1" applyBorder="1"/>
    <xf numFmtId="165" fontId="12" fillId="12" borderId="11" xfId="0" applyNumberFormat="1" applyFont="1" applyFill="1" applyBorder="1"/>
    <xf numFmtId="165" fontId="12" fillId="0" borderId="11" xfId="0" applyNumberFormat="1" applyFont="1" applyFill="1" applyBorder="1"/>
    <xf numFmtId="165" fontId="13" fillId="28" borderId="15" xfId="0" applyNumberFormat="1" applyFont="1" applyFill="1" applyBorder="1"/>
    <xf numFmtId="165" fontId="22" fillId="8" borderId="1" xfId="0" applyNumberFormat="1" applyFont="1" applyFill="1" applyBorder="1"/>
    <xf numFmtId="165" fontId="16" fillId="8" borderId="15" xfId="0" applyNumberFormat="1" applyFont="1" applyFill="1" applyBorder="1"/>
    <xf numFmtId="9" fontId="13" fillId="8" borderId="6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8" borderId="2" xfId="0" applyFont="1" applyFill="1" applyBorder="1"/>
    <xf numFmtId="0" fontId="13" fillId="8" borderId="3" xfId="0" applyFont="1" applyFill="1" applyBorder="1"/>
    <xf numFmtId="165" fontId="13" fillId="8" borderId="3" xfId="0" applyNumberFormat="1" applyFont="1" applyFill="1" applyBorder="1"/>
    <xf numFmtId="165" fontId="13" fillId="8" borderId="4" xfId="0" applyNumberFormat="1" applyFont="1" applyFill="1" applyBorder="1"/>
    <xf numFmtId="0" fontId="13" fillId="5" borderId="5" xfId="0" applyFont="1" applyFill="1" applyBorder="1"/>
    <xf numFmtId="0" fontId="13" fillId="5" borderId="6" xfId="0" applyFont="1" applyFill="1" applyBorder="1"/>
    <xf numFmtId="165" fontId="13" fillId="5" borderId="6" xfId="0" applyNumberFormat="1" applyFont="1" applyFill="1" applyBorder="1"/>
    <xf numFmtId="165" fontId="13" fillId="5" borderId="7" xfId="0" applyNumberFormat="1" applyFont="1" applyFill="1" applyBorder="1"/>
    <xf numFmtId="0" fontId="12" fillId="5" borderId="8" xfId="0" applyFont="1" applyFill="1" applyBorder="1"/>
    <xf numFmtId="0" fontId="12" fillId="5" borderId="0" xfId="0" applyFont="1" applyFill="1" applyBorder="1"/>
    <xf numFmtId="0" fontId="12" fillId="5" borderId="9" xfId="0" applyFont="1" applyFill="1" applyBorder="1"/>
    <xf numFmtId="165" fontId="12" fillId="5" borderId="0" xfId="0" applyNumberFormat="1" applyFont="1" applyFill="1" applyBorder="1"/>
    <xf numFmtId="165" fontId="12" fillId="5" borderId="9" xfId="0" applyNumberFormat="1" applyFont="1" applyFill="1" applyBorder="1"/>
    <xf numFmtId="0" fontId="13" fillId="5" borderId="10" xfId="0" applyFont="1" applyFill="1" applyBorder="1"/>
    <xf numFmtId="0" fontId="13" fillId="5" borderId="11" xfId="0" applyFont="1" applyFill="1" applyBorder="1"/>
    <xf numFmtId="165" fontId="13" fillId="5" borderId="11" xfId="0" applyNumberFormat="1" applyFont="1" applyFill="1" applyBorder="1"/>
    <xf numFmtId="165" fontId="13" fillId="5" borderId="12" xfId="0" applyNumberFormat="1" applyFont="1" applyFill="1" applyBorder="1"/>
    <xf numFmtId="0" fontId="24" fillId="27" borderId="0" xfId="0" applyFont="1" applyFill="1"/>
    <xf numFmtId="165" fontId="24" fillId="27" borderId="0" xfId="1" applyNumberFormat="1" applyFont="1" applyFill="1"/>
    <xf numFmtId="0" fontId="14" fillId="31" borderId="0" xfId="0" applyFont="1" applyFill="1"/>
    <xf numFmtId="165" fontId="14" fillId="31" borderId="0" xfId="0" applyNumberFormat="1" applyFont="1" applyFill="1"/>
    <xf numFmtId="165" fontId="14" fillId="21" borderId="0" xfId="0" applyNumberFormat="1" applyFont="1" applyFill="1" applyAlignment="1">
      <alignment horizontal="center"/>
    </xf>
    <xf numFmtId="9" fontId="13" fillId="0" borderId="0" xfId="0" applyNumberFormat="1" applyFont="1"/>
    <xf numFmtId="0" fontId="14" fillId="18" borderId="2" xfId="0" applyFont="1" applyFill="1" applyBorder="1"/>
    <xf numFmtId="0" fontId="23" fillId="18" borderId="3" xfId="0" applyFont="1" applyFill="1" applyBorder="1"/>
    <xf numFmtId="165" fontId="13" fillId="0" borderId="0" xfId="1" applyNumberFormat="1" applyFont="1"/>
    <xf numFmtId="164" fontId="14" fillId="18" borderId="3" xfId="2" applyNumberFormat="1" applyFont="1" applyFill="1" applyBorder="1"/>
    <xf numFmtId="164" fontId="14" fillId="18" borderId="4" xfId="2" applyNumberFormat="1" applyFont="1" applyFill="1" applyBorder="1"/>
    <xf numFmtId="0" fontId="19" fillId="21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36</xdr:row>
      <xdr:rowOff>47625</xdr:rowOff>
    </xdr:from>
    <xdr:to>
      <xdr:col>7</xdr:col>
      <xdr:colOff>571501</xdr:colOff>
      <xdr:row>37</xdr:row>
      <xdr:rowOff>47625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7318FC5-955C-8D2D-FA45-017F1B9785CA}"/>
            </a:ext>
          </a:extLst>
        </xdr:cNvPr>
        <xdr:cNvSpPr/>
      </xdr:nvSpPr>
      <xdr:spPr>
        <a:xfrm flipH="1">
          <a:off x="6115051" y="12125325"/>
          <a:ext cx="476250" cy="342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133351</xdr:colOff>
      <xdr:row>23</xdr:row>
      <xdr:rowOff>19050</xdr:rowOff>
    </xdr:from>
    <xdr:to>
      <xdr:col>7</xdr:col>
      <xdr:colOff>657226</xdr:colOff>
      <xdr:row>24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1FF1A25-101A-4824-B3A3-F93D0E349677}"/>
            </a:ext>
          </a:extLst>
        </xdr:cNvPr>
        <xdr:cNvSpPr/>
      </xdr:nvSpPr>
      <xdr:spPr>
        <a:xfrm flipH="1">
          <a:off x="6153151" y="7753350"/>
          <a:ext cx="523875" cy="333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95249</xdr:colOff>
      <xdr:row>119</xdr:row>
      <xdr:rowOff>158753</xdr:rowOff>
    </xdr:from>
    <xdr:to>
      <xdr:col>9</xdr:col>
      <xdr:colOff>349250</xdr:colOff>
      <xdr:row>122</xdr:row>
      <xdr:rowOff>52919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52B30D9-A4A8-A013-A524-D469B8D08653}"/>
            </a:ext>
          </a:extLst>
        </xdr:cNvPr>
        <xdr:cNvSpPr/>
      </xdr:nvSpPr>
      <xdr:spPr>
        <a:xfrm rot="17486626">
          <a:off x="7450667" y="40364835"/>
          <a:ext cx="910166" cy="122766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800366</xdr:colOff>
      <xdr:row>136</xdr:row>
      <xdr:rowOff>38367</xdr:rowOff>
    </xdr:from>
    <xdr:to>
      <xdr:col>18</xdr:col>
      <xdr:colOff>165366</xdr:colOff>
      <xdr:row>138</xdr:row>
      <xdr:rowOff>308242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AC064A90-E91C-9143-7093-560CBAC8DB76}"/>
            </a:ext>
          </a:extLst>
        </xdr:cNvPr>
        <xdr:cNvSpPr/>
      </xdr:nvSpPr>
      <xdr:spPr>
        <a:xfrm rot="19235767">
          <a:off x="15611741" y="45603586"/>
          <a:ext cx="1162844" cy="936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125942</xdr:colOff>
      <xdr:row>202</xdr:row>
      <xdr:rowOff>201083</xdr:rowOff>
    </xdr:from>
    <xdr:to>
      <xdr:col>9</xdr:col>
      <xdr:colOff>539749</xdr:colOff>
      <xdr:row>204</xdr:row>
      <xdr:rowOff>89959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7495A52-3301-43D9-AD17-60030C0677CC}"/>
            </a:ext>
          </a:extLst>
        </xdr:cNvPr>
        <xdr:cNvSpPr/>
      </xdr:nvSpPr>
      <xdr:spPr>
        <a:xfrm>
          <a:off x="8603192" y="54281916"/>
          <a:ext cx="413807" cy="41804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116413</xdr:colOff>
      <xdr:row>5</xdr:row>
      <xdr:rowOff>148174</xdr:rowOff>
    </xdr:from>
    <xdr:to>
      <xdr:col>6</xdr:col>
      <xdr:colOff>730246</xdr:colOff>
      <xdr:row>7</xdr:row>
      <xdr:rowOff>179924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0A66C961-6A39-8AFC-16D5-47C2EABBBA3A}"/>
            </a:ext>
          </a:extLst>
        </xdr:cNvPr>
        <xdr:cNvSpPr/>
      </xdr:nvSpPr>
      <xdr:spPr>
        <a:xfrm rot="19598323">
          <a:off x="5598580" y="1746257"/>
          <a:ext cx="613833" cy="5715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571500</xdr:colOff>
      <xdr:row>250</xdr:row>
      <xdr:rowOff>254000</xdr:rowOff>
    </xdr:from>
    <xdr:to>
      <xdr:col>6</xdr:col>
      <xdr:colOff>275167</xdr:colOff>
      <xdr:row>252</xdr:row>
      <xdr:rowOff>137583</xdr:rowOff>
    </xdr:to>
    <xdr:sp macro="" textlink="">
      <xdr:nvSpPr>
        <xdr:cNvPr id="7" name="Es igual a 6">
          <a:extLst>
            <a:ext uri="{FF2B5EF4-FFF2-40B4-BE49-F238E27FC236}">
              <a16:creationId xmlns:a16="http://schemas.microsoft.com/office/drawing/2014/main" id="{A2E58FEC-A0E6-9DE9-16B1-4FB880ABA3D8}"/>
            </a:ext>
          </a:extLst>
        </xdr:cNvPr>
        <xdr:cNvSpPr/>
      </xdr:nvSpPr>
      <xdr:spPr>
        <a:xfrm>
          <a:off x="5005917" y="67034833"/>
          <a:ext cx="751417" cy="433917"/>
        </a:xfrm>
        <a:prstGeom prst="mathEqua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465668</xdr:colOff>
      <xdr:row>118</xdr:row>
      <xdr:rowOff>169333</xdr:rowOff>
    </xdr:from>
    <xdr:to>
      <xdr:col>10</xdr:col>
      <xdr:colOff>243417</xdr:colOff>
      <xdr:row>120</xdr:row>
      <xdr:rowOff>116416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4E6661F8-9382-45F8-9C99-1EBC83D49080}"/>
            </a:ext>
          </a:extLst>
        </xdr:cNvPr>
        <xdr:cNvSpPr/>
      </xdr:nvSpPr>
      <xdr:spPr>
        <a:xfrm flipH="1">
          <a:off x="8942918" y="31750000"/>
          <a:ext cx="825499" cy="49741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291041</xdr:colOff>
      <xdr:row>300</xdr:row>
      <xdr:rowOff>26459</xdr:rowOff>
    </xdr:from>
    <xdr:to>
      <xdr:col>0</xdr:col>
      <xdr:colOff>735541</xdr:colOff>
      <xdr:row>301</xdr:row>
      <xdr:rowOff>259293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54B158F8-30C7-CDF1-BD71-44596811571D}"/>
            </a:ext>
          </a:extLst>
        </xdr:cNvPr>
        <xdr:cNvSpPr/>
      </xdr:nvSpPr>
      <xdr:spPr>
        <a:xfrm rot="5400000">
          <a:off x="264582" y="80242835"/>
          <a:ext cx="497417" cy="4445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09-76AE-4E22-ABD5-FB4F29720A99}">
  <dimension ref="A1:Q148"/>
  <sheetViews>
    <sheetView zoomScale="80" zoomScaleNormal="80" workbookViewId="0">
      <selection sqref="A1:A2"/>
    </sheetView>
  </sheetViews>
  <sheetFormatPr baseColWidth="10" defaultRowHeight="26.25"/>
  <cols>
    <col min="1" max="1" width="11" style="6"/>
    <col min="2" max="2" width="13.875" style="6" bestFit="1" customWidth="1"/>
    <col min="3" max="3" width="12.875" style="6" bestFit="1" customWidth="1"/>
    <col min="4" max="4" width="13" style="6" bestFit="1" customWidth="1"/>
    <col min="5" max="6" width="11.625" style="6" bestFit="1" customWidth="1"/>
    <col min="7" max="7" width="13.75" style="6" bestFit="1" customWidth="1"/>
    <col min="8" max="8" width="12.75" style="6" bestFit="1" customWidth="1"/>
    <col min="9" max="9" width="13" style="6" bestFit="1" customWidth="1"/>
    <col min="10" max="10" width="11.5" style="6" bestFit="1" customWidth="1"/>
    <col min="11" max="11" width="14.875" style="6" bestFit="1" customWidth="1"/>
    <col min="12" max="16" width="11" style="6"/>
    <col min="17" max="17" width="12.625" style="6" customWidth="1"/>
    <col min="18" max="16384" width="11" style="6"/>
  </cols>
  <sheetData>
    <row r="1" spans="1:10" s="1" customFormat="1" ht="31.5">
      <c r="A1" s="5" t="s">
        <v>38</v>
      </c>
    </row>
    <row r="2" spans="1:10" s="1" customFormat="1">
      <c r="A2" s="12" t="s">
        <v>0</v>
      </c>
    </row>
    <row r="4" spans="1:10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7" spans="1:10">
      <c r="B7" s="46" t="s">
        <v>3</v>
      </c>
      <c r="C7" s="47"/>
      <c r="D7" s="47"/>
      <c r="E7" s="47"/>
      <c r="F7" s="47"/>
      <c r="G7" s="47"/>
      <c r="H7" s="47"/>
      <c r="I7" s="47"/>
      <c r="J7" s="48"/>
    </row>
    <row r="8" spans="1:10">
      <c r="B8" s="6" t="s">
        <v>4</v>
      </c>
    </row>
    <row r="9" spans="1:10">
      <c r="B9" s="7" t="s">
        <v>5</v>
      </c>
      <c r="C9" s="7"/>
      <c r="D9" s="7"/>
      <c r="E9" s="8" t="s">
        <v>6</v>
      </c>
      <c r="F9" s="8"/>
      <c r="G9" s="8"/>
    </row>
    <row r="10" spans="1:10">
      <c r="B10" s="7"/>
      <c r="C10" s="7"/>
      <c r="D10" s="7"/>
      <c r="E10" s="8"/>
      <c r="F10" s="8"/>
      <c r="G10" s="8"/>
    </row>
    <row r="11" spans="1:10">
      <c r="B11" s="7"/>
      <c r="C11" s="7"/>
      <c r="D11" s="7"/>
      <c r="E11" s="9" t="s">
        <v>11</v>
      </c>
      <c r="F11" s="9"/>
      <c r="G11" s="9"/>
    </row>
    <row r="12" spans="1:10">
      <c r="B12" s="10" t="s">
        <v>8</v>
      </c>
      <c r="C12" s="10"/>
      <c r="D12" s="10"/>
      <c r="E12" s="9" t="s">
        <v>12</v>
      </c>
      <c r="F12" s="9"/>
      <c r="G12" s="9"/>
    </row>
    <row r="13" spans="1:10">
      <c r="B13" s="10" t="s">
        <v>9</v>
      </c>
      <c r="C13" s="10"/>
      <c r="D13" s="10"/>
      <c r="E13" s="9"/>
      <c r="F13" s="9"/>
      <c r="G13" s="9"/>
    </row>
    <row r="14" spans="1:10">
      <c r="B14" s="10"/>
      <c r="C14" s="10"/>
      <c r="D14" s="10"/>
      <c r="E14" s="9"/>
      <c r="F14" s="9"/>
      <c r="G14" s="9"/>
    </row>
    <row r="15" spans="1:10">
      <c r="B15" s="6" t="s">
        <v>7</v>
      </c>
    </row>
    <row r="16" spans="1:10">
      <c r="B16" s="6" t="s">
        <v>10</v>
      </c>
    </row>
    <row r="17" spans="2:7">
      <c r="B17" s="12" t="s">
        <v>13</v>
      </c>
    </row>
    <row r="19" spans="2:7">
      <c r="B19" s="2"/>
      <c r="C19" s="2"/>
      <c r="D19" s="3" t="s">
        <v>14</v>
      </c>
      <c r="E19" s="3" t="s">
        <v>15</v>
      </c>
      <c r="F19" s="3" t="s">
        <v>16</v>
      </c>
      <c r="G19" s="3" t="s">
        <v>17</v>
      </c>
    </row>
    <row r="20" spans="2:7">
      <c r="B20" s="2" t="s">
        <v>18</v>
      </c>
      <c r="C20" s="2"/>
      <c r="D20" s="2">
        <v>500</v>
      </c>
      <c r="E20" s="2">
        <v>500</v>
      </c>
      <c r="F20" s="2">
        <v>500</v>
      </c>
      <c r="G20" s="2">
        <v>500</v>
      </c>
    </row>
    <row r="22" spans="2:7">
      <c r="B22" s="2" t="s">
        <v>20</v>
      </c>
    </row>
    <row r="23" spans="2:7">
      <c r="B23" s="6" t="s">
        <v>19</v>
      </c>
      <c r="D23" s="6">
        <v>25</v>
      </c>
      <c r="E23" s="6">
        <v>50</v>
      </c>
      <c r="F23" s="6">
        <v>100</v>
      </c>
      <c r="G23" s="11">
        <v>150</v>
      </c>
    </row>
    <row r="24" spans="2:7">
      <c r="B24" s="6" t="s">
        <v>12</v>
      </c>
      <c r="D24" s="6">
        <v>175</v>
      </c>
      <c r="E24" s="6">
        <v>150</v>
      </c>
      <c r="F24" s="6">
        <v>100</v>
      </c>
      <c r="G24" s="6">
        <v>50</v>
      </c>
    </row>
    <row r="25" spans="2:7">
      <c r="B25" s="15"/>
      <c r="C25" s="15"/>
      <c r="D25" s="15">
        <f>+D23+D24</f>
        <v>200</v>
      </c>
      <c r="E25" s="15">
        <f t="shared" ref="E25:G25" si="0">+E23+E24</f>
        <v>200</v>
      </c>
      <c r="F25" s="15">
        <f t="shared" si="0"/>
        <v>200</v>
      </c>
      <c r="G25" s="15">
        <f t="shared" si="0"/>
        <v>200</v>
      </c>
    </row>
    <row r="26" spans="2:7">
      <c r="B26" s="6" t="s">
        <v>21</v>
      </c>
      <c r="D26" s="16">
        <f>+D20/D24</f>
        <v>2.8571428571428572</v>
      </c>
      <c r="E26" s="16">
        <f>+E20/E24</f>
        <v>3.3333333333333335</v>
      </c>
      <c r="F26" s="16">
        <f>+F20/F24</f>
        <v>5</v>
      </c>
      <c r="G26" s="22">
        <f>+G20/G24</f>
        <v>10</v>
      </c>
    </row>
    <row r="28" spans="2:7">
      <c r="B28" s="2" t="s">
        <v>23</v>
      </c>
    </row>
    <row r="29" spans="2:7">
      <c r="B29" s="6" t="s">
        <v>19</v>
      </c>
      <c r="D29" s="16">
        <f>+D23/D25</f>
        <v>0.125</v>
      </c>
      <c r="E29" s="16">
        <f>+E23/E25</f>
        <v>0.25</v>
      </c>
      <c r="F29" s="16">
        <f>+F23/F25</f>
        <v>0.5</v>
      </c>
      <c r="G29" s="16">
        <f>+G23/G25</f>
        <v>0.75</v>
      </c>
    </row>
    <row r="30" spans="2:7">
      <c r="B30" s="6" t="s">
        <v>12</v>
      </c>
      <c r="D30" s="16">
        <f>+D24/D25</f>
        <v>0.875</v>
      </c>
      <c r="E30" s="16">
        <f>+E24/E25</f>
        <v>0.75</v>
      </c>
      <c r="F30" s="16">
        <f>+F24/F25</f>
        <v>0.5</v>
      </c>
      <c r="G30" s="16">
        <f>+G24/G25</f>
        <v>0.25</v>
      </c>
    </row>
    <row r="31" spans="2:7">
      <c r="B31" s="15"/>
      <c r="C31" s="15"/>
      <c r="D31" s="17">
        <f>+D29+D30</f>
        <v>1</v>
      </c>
      <c r="E31" s="17">
        <f>+E29+E30</f>
        <v>1</v>
      </c>
      <c r="F31" s="17">
        <f>+F29+F30</f>
        <v>1</v>
      </c>
      <c r="G31" s="17">
        <f>+G29+G30</f>
        <v>1</v>
      </c>
    </row>
    <row r="33" spans="2:12">
      <c r="B33" s="2" t="s">
        <v>22</v>
      </c>
    </row>
    <row r="34" spans="2:12">
      <c r="B34" s="6" t="s">
        <v>19</v>
      </c>
      <c r="D34" s="16">
        <v>0.08</v>
      </c>
      <c r="E34" s="16">
        <v>0.08</v>
      </c>
      <c r="F34" s="16">
        <v>0.08</v>
      </c>
      <c r="G34" s="16">
        <v>0.08</v>
      </c>
    </row>
    <row r="35" spans="2:12">
      <c r="B35" s="6" t="s">
        <v>12</v>
      </c>
      <c r="D35" s="16">
        <v>0.12</v>
      </c>
      <c r="E35" s="16">
        <v>0.12</v>
      </c>
      <c r="F35" s="16">
        <v>0.12</v>
      </c>
      <c r="G35" s="16">
        <v>0.12</v>
      </c>
    </row>
    <row r="36" spans="2:12" ht="27" thickBot="1"/>
    <row r="37" spans="2:12" ht="27" thickBot="1">
      <c r="B37" s="18" t="s">
        <v>24</v>
      </c>
      <c r="C37" s="19"/>
      <c r="D37" s="20">
        <f>+D34*D29+D30*D35</f>
        <v>0.11499999999999999</v>
      </c>
      <c r="E37" s="20">
        <f t="shared" ref="E37:G37" si="1">+E34*E29+E30*E35</f>
        <v>0.11</v>
      </c>
      <c r="F37" s="20">
        <f t="shared" si="1"/>
        <v>0.1</v>
      </c>
      <c r="G37" s="21">
        <f t="shared" si="1"/>
        <v>0.09</v>
      </c>
    </row>
    <row r="39" spans="2:12">
      <c r="B39" s="2" t="s">
        <v>24</v>
      </c>
    </row>
    <row r="40" spans="2:12">
      <c r="C40" s="6" t="s">
        <v>25</v>
      </c>
    </row>
    <row r="41" spans="2:12">
      <c r="C41" s="6" t="s">
        <v>26</v>
      </c>
    </row>
    <row r="42" spans="2:12">
      <c r="C42" s="6" t="s">
        <v>27</v>
      </c>
    </row>
    <row r="44" spans="2:12">
      <c r="J44" s="23"/>
    </row>
    <row r="45" spans="2:12">
      <c r="B45" s="46" t="s">
        <v>28</v>
      </c>
      <c r="C45" s="47"/>
      <c r="D45" s="47"/>
      <c r="E45" s="47"/>
      <c r="F45" s="47"/>
      <c r="G45" s="47"/>
      <c r="H45" s="47"/>
      <c r="I45" s="47"/>
      <c r="J45" s="48"/>
    </row>
    <row r="46" spans="2:12">
      <c r="B46" s="6" t="s">
        <v>29</v>
      </c>
      <c r="J46" s="23"/>
    </row>
    <row r="47" spans="2:12">
      <c r="G47" s="4" t="s">
        <v>33</v>
      </c>
      <c r="H47" s="4" t="s">
        <v>34</v>
      </c>
      <c r="I47" s="4" t="s">
        <v>35</v>
      </c>
      <c r="J47" s="45">
        <f>IRR(J48:J108)</f>
        <v>1.3954762659491582E-2</v>
      </c>
    </row>
    <row r="48" spans="2:12">
      <c r="B48" s="47" t="s">
        <v>30</v>
      </c>
      <c r="C48" s="47"/>
      <c r="D48" s="47">
        <v>900</v>
      </c>
      <c r="F48" s="6">
        <v>0</v>
      </c>
      <c r="J48" s="48">
        <f>D48*(1-D51)</f>
        <v>810</v>
      </c>
      <c r="L48" s="49">
        <f>+D48-J48</f>
        <v>90</v>
      </c>
    </row>
    <row r="49" spans="2:10">
      <c r="B49" s="41" t="s">
        <v>31</v>
      </c>
      <c r="C49" s="41"/>
      <c r="D49" s="42">
        <v>0.01</v>
      </c>
      <c r="F49" s="27">
        <v>1</v>
      </c>
      <c r="G49" s="28">
        <f>-PPMT($D$49,F49,$D$50,$D$48,0,0)</f>
        <v>11.020002916411597</v>
      </c>
      <c r="H49" s="28">
        <f>-IPMT($D$49,F49,$D$50,$D$48,0,0)</f>
        <v>9</v>
      </c>
      <c r="I49" s="28">
        <f>+G49+H49</f>
        <v>20.020002916411599</v>
      </c>
      <c r="J49" s="44">
        <f>-I49</f>
        <v>-20.020002916411599</v>
      </c>
    </row>
    <row r="50" spans="2:10">
      <c r="B50" s="6" t="s">
        <v>32</v>
      </c>
      <c r="D50" s="6">
        <v>60</v>
      </c>
      <c r="F50" s="27">
        <f>+F49+1</f>
        <v>2</v>
      </c>
      <c r="G50" s="28">
        <f t="shared" ref="G50:G108" si="2">-PPMT($D$49,F50,$D$50,$D$48,0,0)</f>
        <v>11.130202945575711</v>
      </c>
      <c r="H50" s="28">
        <f t="shared" ref="H50:H108" si="3">-IPMT($D$49,F50,$D$50,$D$48,0,0)</f>
        <v>8.8897999708358846</v>
      </c>
      <c r="I50" s="28">
        <f t="shared" ref="I50:I108" si="4">+G50+H50</f>
        <v>20.020002916411595</v>
      </c>
      <c r="J50" s="44">
        <f>-I50</f>
        <v>-20.020002916411595</v>
      </c>
    </row>
    <row r="51" spans="2:10" ht="27" thickBot="1">
      <c r="B51" s="25" t="s">
        <v>36</v>
      </c>
      <c r="C51" s="25"/>
      <c r="D51" s="43">
        <v>0.1</v>
      </c>
      <c r="F51" s="27">
        <f t="shared" ref="F51:F108" si="5">+F50+1</f>
        <v>3</v>
      </c>
      <c r="G51" s="28">
        <f t="shared" si="2"/>
        <v>11.24150497503147</v>
      </c>
      <c r="H51" s="28">
        <f t="shared" si="3"/>
        <v>8.7784979413801256</v>
      </c>
      <c r="I51" s="28">
        <f t="shared" si="4"/>
        <v>20.020002916411595</v>
      </c>
      <c r="J51" s="44">
        <f t="shared" ref="J51:J108" si="6">-I51</f>
        <v>-20.020002916411595</v>
      </c>
    </row>
    <row r="52" spans="2:10">
      <c r="E52" s="29">
        <v>1</v>
      </c>
      <c r="F52" s="30">
        <f t="shared" si="5"/>
        <v>4</v>
      </c>
      <c r="G52" s="31">
        <f t="shared" si="2"/>
        <v>11.353920024781784</v>
      </c>
      <c r="H52" s="38">
        <f t="shared" si="3"/>
        <v>8.6660828916298112</v>
      </c>
      <c r="I52" s="64">
        <f t="shared" si="4"/>
        <v>20.020002916411595</v>
      </c>
      <c r="J52" s="44">
        <f t="shared" si="6"/>
        <v>-20.020002916411595</v>
      </c>
    </row>
    <row r="53" spans="2:10">
      <c r="E53" s="32">
        <f>+E52+1</f>
        <v>2</v>
      </c>
      <c r="F53" s="33">
        <f t="shared" si="5"/>
        <v>5</v>
      </c>
      <c r="G53" s="34">
        <f t="shared" si="2"/>
        <v>11.4674592250296</v>
      </c>
      <c r="H53" s="39">
        <f t="shared" si="3"/>
        <v>8.5525436913819917</v>
      </c>
      <c r="I53" s="65">
        <f t="shared" si="4"/>
        <v>20.020002916411592</v>
      </c>
      <c r="J53" s="44">
        <f t="shared" si="6"/>
        <v>-20.020002916411592</v>
      </c>
    </row>
    <row r="54" spans="2:10">
      <c r="B54" s="10" t="s">
        <v>37</v>
      </c>
      <c r="C54" s="10"/>
      <c r="D54" s="26">
        <f>NPV(J47,I52:I63)</f>
        <v>219.79685227446828</v>
      </c>
      <c r="E54" s="32">
        <f t="shared" ref="E54:E63" si="7">+E53+1</f>
        <v>3</v>
      </c>
      <c r="F54" s="33">
        <f t="shared" si="5"/>
        <v>6</v>
      </c>
      <c r="G54" s="34">
        <f t="shared" si="2"/>
        <v>11.582133817279896</v>
      </c>
      <c r="H54" s="39">
        <f t="shared" si="3"/>
        <v>8.4378690991316976</v>
      </c>
      <c r="I54" s="65">
        <f t="shared" si="4"/>
        <v>20.020002916411592</v>
      </c>
      <c r="J54" s="44">
        <f t="shared" si="6"/>
        <v>-20.020002916411592</v>
      </c>
    </row>
    <row r="55" spans="2:10">
      <c r="E55" s="32">
        <f t="shared" si="7"/>
        <v>4</v>
      </c>
      <c r="F55" s="33">
        <f t="shared" si="5"/>
        <v>7</v>
      </c>
      <c r="G55" s="34">
        <f t="shared" si="2"/>
        <v>11.697955155452698</v>
      </c>
      <c r="H55" s="39">
        <f t="shared" si="3"/>
        <v>8.322047760958899</v>
      </c>
      <c r="I55" s="65">
        <f t="shared" si="4"/>
        <v>20.020002916411599</v>
      </c>
      <c r="J55" s="44">
        <f t="shared" si="6"/>
        <v>-20.020002916411599</v>
      </c>
    </row>
    <row r="56" spans="2:10">
      <c r="E56" s="32">
        <f t="shared" si="7"/>
        <v>5</v>
      </c>
      <c r="F56" s="33">
        <f t="shared" si="5"/>
        <v>8</v>
      </c>
      <c r="G56" s="34">
        <f t="shared" si="2"/>
        <v>11.814934707007223</v>
      </c>
      <c r="H56" s="39">
        <f t="shared" si="3"/>
        <v>8.2050682094043719</v>
      </c>
      <c r="I56" s="65">
        <f t="shared" si="4"/>
        <v>20.020002916411595</v>
      </c>
      <c r="J56" s="44">
        <f t="shared" si="6"/>
        <v>-20.020002916411595</v>
      </c>
    </row>
    <row r="57" spans="2:10">
      <c r="E57" s="32">
        <f t="shared" si="7"/>
        <v>6</v>
      </c>
      <c r="F57" s="33">
        <f t="shared" si="5"/>
        <v>9</v>
      </c>
      <c r="G57" s="34">
        <f t="shared" si="2"/>
        <v>11.933084054077296</v>
      </c>
      <c r="H57" s="39">
        <f t="shared" si="3"/>
        <v>8.0869188623343007</v>
      </c>
      <c r="I57" s="65">
        <f t="shared" si="4"/>
        <v>20.020002916411599</v>
      </c>
      <c r="J57" s="44">
        <f t="shared" si="6"/>
        <v>-20.020002916411599</v>
      </c>
    </row>
    <row r="58" spans="2:10">
      <c r="E58" s="32">
        <f t="shared" si="7"/>
        <v>7</v>
      </c>
      <c r="F58" s="33">
        <f t="shared" si="5"/>
        <v>10</v>
      </c>
      <c r="G58" s="34">
        <f t="shared" si="2"/>
        <v>12.052414894618069</v>
      </c>
      <c r="H58" s="39">
        <f t="shared" si="3"/>
        <v>7.967588021793528</v>
      </c>
      <c r="I58" s="65">
        <f t="shared" si="4"/>
        <v>20.020002916411599</v>
      </c>
      <c r="J58" s="44">
        <f t="shared" si="6"/>
        <v>-20.020002916411599</v>
      </c>
    </row>
    <row r="59" spans="2:10">
      <c r="E59" s="32">
        <f t="shared" si="7"/>
        <v>8</v>
      </c>
      <c r="F59" s="33">
        <f t="shared" si="5"/>
        <v>11</v>
      </c>
      <c r="G59" s="34">
        <f t="shared" si="2"/>
        <v>12.172939043564247</v>
      </c>
      <c r="H59" s="39">
        <f t="shared" si="3"/>
        <v>7.8470638728473467</v>
      </c>
      <c r="I59" s="65">
        <f t="shared" si="4"/>
        <v>20.020002916411592</v>
      </c>
      <c r="J59" s="44">
        <f t="shared" si="6"/>
        <v>-20.020002916411592</v>
      </c>
    </row>
    <row r="60" spans="2:10">
      <c r="E60" s="32">
        <f t="shared" si="7"/>
        <v>9</v>
      </c>
      <c r="F60" s="33">
        <f t="shared" si="5"/>
        <v>12</v>
      </c>
      <c r="G60" s="34">
        <f t="shared" si="2"/>
        <v>12.294668433999892</v>
      </c>
      <c r="H60" s="39">
        <f t="shared" si="3"/>
        <v>7.7253344824117045</v>
      </c>
      <c r="I60" s="65">
        <f t="shared" si="4"/>
        <v>20.020002916411595</v>
      </c>
      <c r="J60" s="44">
        <f t="shared" si="6"/>
        <v>-20.020002916411595</v>
      </c>
    </row>
    <row r="61" spans="2:10">
      <c r="E61" s="32">
        <f t="shared" si="7"/>
        <v>10</v>
      </c>
      <c r="F61" s="33">
        <f t="shared" si="5"/>
        <v>13</v>
      </c>
      <c r="G61" s="34">
        <f t="shared" si="2"/>
        <v>12.41761511833989</v>
      </c>
      <c r="H61" s="39">
        <f t="shared" si="3"/>
        <v>7.6023877980717041</v>
      </c>
      <c r="I61" s="65">
        <f t="shared" si="4"/>
        <v>20.020002916411595</v>
      </c>
      <c r="J61" s="44">
        <f t="shared" si="6"/>
        <v>-20.020002916411595</v>
      </c>
    </row>
    <row r="62" spans="2:10">
      <c r="E62" s="32">
        <f t="shared" si="7"/>
        <v>11</v>
      </c>
      <c r="F62" s="33">
        <f t="shared" si="5"/>
        <v>14</v>
      </c>
      <c r="G62" s="34">
        <f t="shared" si="2"/>
        <v>12.541791269523292</v>
      </c>
      <c r="H62" s="39">
        <f t="shared" si="3"/>
        <v>7.4782116468883055</v>
      </c>
      <c r="I62" s="65">
        <f t="shared" si="4"/>
        <v>20.020002916411599</v>
      </c>
      <c r="J62" s="44">
        <f t="shared" si="6"/>
        <v>-20.020002916411599</v>
      </c>
    </row>
    <row r="63" spans="2:10" ht="27" thickBot="1">
      <c r="E63" s="35">
        <f t="shared" si="7"/>
        <v>12</v>
      </c>
      <c r="F63" s="36">
        <f t="shared" si="5"/>
        <v>15</v>
      </c>
      <c r="G63" s="37">
        <f t="shared" si="2"/>
        <v>12.667209182218521</v>
      </c>
      <c r="H63" s="40">
        <f t="shared" si="3"/>
        <v>7.3527937341930709</v>
      </c>
      <c r="I63" s="66">
        <f t="shared" si="4"/>
        <v>20.020002916411592</v>
      </c>
      <c r="J63" s="44">
        <f t="shared" si="6"/>
        <v>-20.020002916411592</v>
      </c>
    </row>
    <row r="64" spans="2:10">
      <c r="F64" s="6">
        <f t="shared" si="5"/>
        <v>16</v>
      </c>
      <c r="G64" s="24">
        <f t="shared" si="2"/>
        <v>12.793881274040707</v>
      </c>
      <c r="H64" s="24">
        <f t="shared" si="3"/>
        <v>7.2261216423708872</v>
      </c>
      <c r="I64" s="24">
        <f t="shared" si="4"/>
        <v>20.020002916411595</v>
      </c>
      <c r="J64" s="44">
        <f t="shared" si="6"/>
        <v>-20.020002916411595</v>
      </c>
    </row>
    <row r="65" spans="6:10">
      <c r="F65" s="6">
        <f t="shared" si="5"/>
        <v>17</v>
      </c>
      <c r="G65" s="24">
        <f t="shared" si="2"/>
        <v>12.921820086781116</v>
      </c>
      <c r="H65" s="24">
        <f t="shared" si="3"/>
        <v>7.0981828296304803</v>
      </c>
      <c r="I65" s="24">
        <f t="shared" si="4"/>
        <v>20.020002916411595</v>
      </c>
      <c r="J65" s="44">
        <f t="shared" si="6"/>
        <v>-20.020002916411595</v>
      </c>
    </row>
    <row r="66" spans="6:10">
      <c r="F66" s="6">
        <f t="shared" si="5"/>
        <v>18</v>
      </c>
      <c r="G66" s="24">
        <f t="shared" si="2"/>
        <v>13.051038287648925</v>
      </c>
      <c r="H66" s="24">
        <f t="shared" si="3"/>
        <v>6.9689646287626683</v>
      </c>
      <c r="I66" s="24">
        <f t="shared" si="4"/>
        <v>20.020002916411592</v>
      </c>
      <c r="J66" s="44">
        <f t="shared" si="6"/>
        <v>-20.020002916411592</v>
      </c>
    </row>
    <row r="67" spans="6:10">
      <c r="F67" s="6">
        <f t="shared" si="5"/>
        <v>19</v>
      </c>
      <c r="G67" s="24">
        <f t="shared" si="2"/>
        <v>13.181548670525416</v>
      </c>
      <c r="H67" s="24">
        <f t="shared" si="3"/>
        <v>6.8384542458861795</v>
      </c>
      <c r="I67" s="24">
        <f t="shared" si="4"/>
        <v>20.020002916411595</v>
      </c>
      <c r="J67" s="44">
        <f t="shared" si="6"/>
        <v>-20.020002916411595</v>
      </c>
    </row>
    <row r="68" spans="6:10">
      <c r="F68" s="6">
        <f t="shared" si="5"/>
        <v>20</v>
      </c>
      <c r="G68" s="24">
        <f t="shared" si="2"/>
        <v>13.313364157230669</v>
      </c>
      <c r="H68" s="24">
        <f t="shared" si="3"/>
        <v>6.706638759180926</v>
      </c>
      <c r="I68" s="24">
        <f t="shared" si="4"/>
        <v>20.020002916411595</v>
      </c>
      <c r="J68" s="44">
        <f t="shared" si="6"/>
        <v>-20.020002916411595</v>
      </c>
    </row>
    <row r="69" spans="6:10">
      <c r="F69" s="6">
        <f t="shared" si="5"/>
        <v>21</v>
      </c>
      <c r="G69" s="24">
        <f t="shared" si="2"/>
        <v>13.446497798802978</v>
      </c>
      <c r="H69" s="24">
        <f t="shared" si="3"/>
        <v>6.5735051176086179</v>
      </c>
      <c r="I69" s="24">
        <f t="shared" si="4"/>
        <v>20.020002916411595</v>
      </c>
      <c r="J69" s="44">
        <f t="shared" si="6"/>
        <v>-20.020002916411595</v>
      </c>
    </row>
    <row r="70" spans="6:10">
      <c r="F70" s="6">
        <f t="shared" si="5"/>
        <v>22</v>
      </c>
      <c r="G70" s="24">
        <f t="shared" si="2"/>
        <v>13.580962776791008</v>
      </c>
      <c r="H70" s="24">
        <f t="shared" si="3"/>
        <v>6.4390401396205892</v>
      </c>
      <c r="I70" s="24">
        <f t="shared" si="4"/>
        <v>20.020002916411599</v>
      </c>
      <c r="J70" s="44">
        <f t="shared" si="6"/>
        <v>-20.020002916411599</v>
      </c>
    </row>
    <row r="71" spans="6:10">
      <c r="F71" s="6">
        <f t="shared" si="5"/>
        <v>23</v>
      </c>
      <c r="G71" s="24">
        <f t="shared" si="2"/>
        <v>13.716772404558917</v>
      </c>
      <c r="H71" s="24">
        <f t="shared" si="3"/>
        <v>6.3032305118526777</v>
      </c>
      <c r="I71" s="24">
        <f t="shared" si="4"/>
        <v>20.020002916411595</v>
      </c>
      <c r="J71" s="44">
        <f t="shared" si="6"/>
        <v>-20.020002916411595</v>
      </c>
    </row>
    <row r="72" spans="6:10">
      <c r="F72" s="6">
        <f t="shared" si="5"/>
        <v>24</v>
      </c>
      <c r="G72" s="24">
        <f t="shared" si="2"/>
        <v>13.853940128604506</v>
      </c>
      <c r="H72" s="24">
        <f t="shared" si="3"/>
        <v>6.1660627878070899</v>
      </c>
      <c r="I72" s="24">
        <f t="shared" si="4"/>
        <v>20.020002916411595</v>
      </c>
      <c r="J72" s="44">
        <f t="shared" si="6"/>
        <v>-20.020002916411595</v>
      </c>
    </row>
    <row r="73" spans="6:10">
      <c r="F73" s="6">
        <f t="shared" si="5"/>
        <v>25</v>
      </c>
      <c r="G73" s="24">
        <f t="shared" si="2"/>
        <v>13.992479529890552</v>
      </c>
      <c r="H73" s="24">
        <f t="shared" si="3"/>
        <v>6.027523386521044</v>
      </c>
      <c r="I73" s="24">
        <f t="shared" si="4"/>
        <v>20.020002916411595</v>
      </c>
      <c r="J73" s="44">
        <f t="shared" si="6"/>
        <v>-20.020002916411595</v>
      </c>
    </row>
    <row r="74" spans="6:10">
      <c r="F74" s="6">
        <f t="shared" si="5"/>
        <v>26</v>
      </c>
      <c r="G74" s="24">
        <f t="shared" si="2"/>
        <v>14.132404325189455</v>
      </c>
      <c r="H74" s="24">
        <f t="shared" si="3"/>
        <v>5.8875985912221385</v>
      </c>
      <c r="I74" s="24">
        <f t="shared" si="4"/>
        <v>20.020002916411592</v>
      </c>
      <c r="J74" s="44">
        <f t="shared" si="6"/>
        <v>-20.020002916411592</v>
      </c>
    </row>
    <row r="75" spans="6:10">
      <c r="F75" s="6">
        <f t="shared" si="5"/>
        <v>27</v>
      </c>
      <c r="G75" s="24">
        <f t="shared" si="2"/>
        <v>14.273728368441351</v>
      </c>
      <c r="H75" s="24">
        <f t="shared" si="3"/>
        <v>5.7462745479702448</v>
      </c>
      <c r="I75" s="24">
        <f t="shared" si="4"/>
        <v>20.020002916411595</v>
      </c>
      <c r="J75" s="44">
        <f t="shared" si="6"/>
        <v>-20.020002916411595</v>
      </c>
    </row>
    <row r="76" spans="6:10">
      <c r="F76" s="6">
        <f t="shared" si="5"/>
        <v>28</v>
      </c>
      <c r="G76" s="24">
        <f t="shared" si="2"/>
        <v>14.416465652125765</v>
      </c>
      <c r="H76" s="24">
        <f t="shared" si="3"/>
        <v>5.6035372642858308</v>
      </c>
      <c r="I76" s="24">
        <f t="shared" si="4"/>
        <v>20.020002916411595</v>
      </c>
      <c r="J76" s="44">
        <f t="shared" si="6"/>
        <v>-20.020002916411595</v>
      </c>
    </row>
    <row r="77" spans="6:10">
      <c r="F77" s="6">
        <f t="shared" si="5"/>
        <v>29</v>
      </c>
      <c r="G77" s="24">
        <f t="shared" si="2"/>
        <v>14.560630308647021</v>
      </c>
      <c r="H77" s="24">
        <f t="shared" si="3"/>
        <v>5.459372607764573</v>
      </c>
      <c r="I77" s="24">
        <f t="shared" si="4"/>
        <v>20.020002916411592</v>
      </c>
      <c r="J77" s="44">
        <f t="shared" si="6"/>
        <v>-20.020002916411592</v>
      </c>
    </row>
    <row r="78" spans="6:10">
      <c r="F78" s="6">
        <f t="shared" si="5"/>
        <v>30</v>
      </c>
      <c r="G78" s="24">
        <f t="shared" si="2"/>
        <v>14.706236611733493</v>
      </c>
      <c r="H78" s="24">
        <f t="shared" si="3"/>
        <v>5.3137663046781034</v>
      </c>
      <c r="I78" s="24">
        <f t="shared" si="4"/>
        <v>20.020002916411595</v>
      </c>
      <c r="J78" s="44">
        <f t="shared" si="6"/>
        <v>-20.020002916411595</v>
      </c>
    </row>
    <row r="79" spans="6:10">
      <c r="F79" s="6">
        <f t="shared" si="5"/>
        <v>31</v>
      </c>
      <c r="G79" s="24">
        <f t="shared" si="2"/>
        <v>14.853298977850827</v>
      </c>
      <c r="H79" s="24">
        <f t="shared" si="3"/>
        <v>5.1667039385607669</v>
      </c>
      <c r="I79" s="24">
        <f t="shared" si="4"/>
        <v>20.020002916411592</v>
      </c>
      <c r="J79" s="44">
        <f t="shared" si="6"/>
        <v>-20.020002916411592</v>
      </c>
    </row>
    <row r="80" spans="6:10">
      <c r="F80" s="6">
        <f t="shared" si="5"/>
        <v>32</v>
      </c>
      <c r="G80" s="24">
        <f t="shared" si="2"/>
        <v>15.001831967629334</v>
      </c>
      <c r="H80" s="24">
        <f t="shared" si="3"/>
        <v>5.0181709487822603</v>
      </c>
      <c r="I80" s="24">
        <f t="shared" si="4"/>
        <v>20.020002916411595</v>
      </c>
      <c r="J80" s="44">
        <f t="shared" si="6"/>
        <v>-20.020002916411595</v>
      </c>
    </row>
    <row r="81" spans="6:10">
      <c r="F81" s="6">
        <f t="shared" si="5"/>
        <v>33</v>
      </c>
      <c r="G81" s="24">
        <f t="shared" si="2"/>
        <v>15.15185028730563</v>
      </c>
      <c r="H81" s="24">
        <f t="shared" si="3"/>
        <v>4.8681526291059667</v>
      </c>
      <c r="I81" s="24">
        <f t="shared" si="4"/>
        <v>20.020002916411595</v>
      </c>
      <c r="J81" s="44">
        <f t="shared" si="6"/>
        <v>-20.020002916411595</v>
      </c>
    </row>
    <row r="82" spans="6:10">
      <c r="F82" s="6">
        <f t="shared" si="5"/>
        <v>34</v>
      </c>
      <c r="G82" s="24">
        <f t="shared" si="2"/>
        <v>15.303368790178686</v>
      </c>
      <c r="H82" s="24">
        <f t="shared" si="3"/>
        <v>4.7166341262329095</v>
      </c>
      <c r="I82" s="24">
        <f t="shared" si="4"/>
        <v>20.020002916411595</v>
      </c>
      <c r="J82" s="44">
        <f t="shared" si="6"/>
        <v>-20.020002916411595</v>
      </c>
    </row>
    <row r="83" spans="6:10">
      <c r="F83" s="6">
        <f t="shared" si="5"/>
        <v>35</v>
      </c>
      <c r="G83" s="24">
        <f t="shared" si="2"/>
        <v>15.456402478080472</v>
      </c>
      <c r="H83" s="24">
        <f t="shared" si="3"/>
        <v>4.5636004383311235</v>
      </c>
      <c r="I83" s="24">
        <f t="shared" si="4"/>
        <v>20.020002916411595</v>
      </c>
      <c r="J83" s="44">
        <f t="shared" si="6"/>
        <v>-20.020002916411595</v>
      </c>
    </row>
    <row r="84" spans="6:10">
      <c r="F84" s="6">
        <f t="shared" si="5"/>
        <v>36</v>
      </c>
      <c r="G84" s="24">
        <f t="shared" si="2"/>
        <v>15.610966502861277</v>
      </c>
      <c r="H84" s="24">
        <f t="shared" si="3"/>
        <v>4.4090364135503179</v>
      </c>
      <c r="I84" s="24">
        <f t="shared" si="4"/>
        <v>20.020002916411595</v>
      </c>
      <c r="J84" s="44">
        <f t="shared" si="6"/>
        <v>-20.020002916411595</v>
      </c>
    </row>
    <row r="85" spans="6:10">
      <c r="F85" s="6">
        <f t="shared" si="5"/>
        <v>37</v>
      </c>
      <c r="G85" s="24">
        <f t="shared" si="2"/>
        <v>15.767076167889888</v>
      </c>
      <c r="H85" s="24">
        <f t="shared" si="3"/>
        <v>4.2529267485217055</v>
      </c>
      <c r="I85" s="24">
        <f t="shared" si="4"/>
        <v>20.020002916411592</v>
      </c>
      <c r="J85" s="44">
        <f t="shared" si="6"/>
        <v>-20.020002916411592</v>
      </c>
    </row>
    <row r="86" spans="6:10">
      <c r="F86" s="6">
        <f t="shared" si="5"/>
        <v>38</v>
      </c>
      <c r="G86" s="24">
        <f t="shared" si="2"/>
        <v>15.924746929568789</v>
      </c>
      <c r="H86" s="24">
        <f t="shared" si="3"/>
        <v>4.0952559868428065</v>
      </c>
      <c r="I86" s="24">
        <f t="shared" si="4"/>
        <v>20.020002916411595</v>
      </c>
      <c r="J86" s="44">
        <f t="shared" si="6"/>
        <v>-20.020002916411595</v>
      </c>
    </row>
    <row r="87" spans="6:10">
      <c r="F87" s="6">
        <f t="shared" si="5"/>
        <v>39</v>
      </c>
      <c r="G87" s="24">
        <f t="shared" si="2"/>
        <v>16.083994398864476</v>
      </c>
      <c r="H87" s="24">
        <f t="shared" si="3"/>
        <v>3.9360085175471196</v>
      </c>
      <c r="I87" s="24">
        <f t="shared" si="4"/>
        <v>20.020002916411595</v>
      </c>
      <c r="J87" s="44">
        <f t="shared" si="6"/>
        <v>-20.020002916411595</v>
      </c>
    </row>
    <row r="88" spans="6:10">
      <c r="F88" s="6">
        <f t="shared" si="5"/>
        <v>40</v>
      </c>
      <c r="G88" s="24">
        <f t="shared" si="2"/>
        <v>16.244834342853121</v>
      </c>
      <c r="H88" s="24">
        <f t="shared" si="3"/>
        <v>3.7751685735584739</v>
      </c>
      <c r="I88" s="24">
        <f t="shared" si="4"/>
        <v>20.020002916411595</v>
      </c>
      <c r="J88" s="44">
        <f t="shared" si="6"/>
        <v>-20.020002916411595</v>
      </c>
    </row>
    <row r="89" spans="6:10">
      <c r="F89" s="6">
        <f t="shared" si="5"/>
        <v>41</v>
      </c>
      <c r="G89" s="24">
        <f t="shared" si="2"/>
        <v>16.407282686281651</v>
      </c>
      <c r="H89" s="24">
        <f t="shared" si="3"/>
        <v>3.612720230129943</v>
      </c>
      <c r="I89" s="24">
        <f t="shared" si="4"/>
        <v>20.020002916411592</v>
      </c>
      <c r="J89" s="44">
        <f t="shared" si="6"/>
        <v>-20.020002916411592</v>
      </c>
    </row>
    <row r="90" spans="6:10">
      <c r="F90" s="6">
        <f t="shared" si="5"/>
        <v>42</v>
      </c>
      <c r="G90" s="24">
        <f t="shared" si="2"/>
        <v>16.571355513144468</v>
      </c>
      <c r="H90" s="24">
        <f t="shared" si="3"/>
        <v>3.4486474032671262</v>
      </c>
      <c r="I90" s="24">
        <f t="shared" si="4"/>
        <v>20.020002916411595</v>
      </c>
      <c r="J90" s="44">
        <f t="shared" si="6"/>
        <v>-20.020002916411595</v>
      </c>
    </row>
    <row r="91" spans="6:10">
      <c r="F91" s="6">
        <f t="shared" si="5"/>
        <v>43</v>
      </c>
      <c r="G91" s="24">
        <f t="shared" si="2"/>
        <v>16.737069068275915</v>
      </c>
      <c r="H91" s="24">
        <f t="shared" si="3"/>
        <v>3.2829338481356807</v>
      </c>
      <c r="I91" s="24">
        <f t="shared" si="4"/>
        <v>20.020002916411595</v>
      </c>
      <c r="J91" s="44">
        <f t="shared" si="6"/>
        <v>-20.020002916411595</v>
      </c>
    </row>
    <row r="92" spans="6:10">
      <c r="F92" s="6">
        <f t="shared" si="5"/>
        <v>44</v>
      </c>
      <c r="G92" s="24">
        <f t="shared" si="2"/>
        <v>16.904439758958674</v>
      </c>
      <c r="H92" s="24">
        <f t="shared" si="3"/>
        <v>3.1155631574529226</v>
      </c>
      <c r="I92" s="24">
        <f t="shared" si="4"/>
        <v>20.020002916411595</v>
      </c>
      <c r="J92" s="44">
        <f t="shared" si="6"/>
        <v>-20.020002916411595</v>
      </c>
    </row>
    <row r="93" spans="6:10">
      <c r="F93" s="6">
        <f t="shared" si="5"/>
        <v>45</v>
      </c>
      <c r="G93" s="24">
        <f t="shared" si="2"/>
        <v>17.073484156548261</v>
      </c>
      <c r="H93" s="24">
        <f t="shared" si="3"/>
        <v>2.9465187598633356</v>
      </c>
      <c r="I93" s="24">
        <f t="shared" si="4"/>
        <v>20.020002916411595</v>
      </c>
      <c r="J93" s="44">
        <f t="shared" si="6"/>
        <v>-20.020002916411595</v>
      </c>
    </row>
    <row r="94" spans="6:10">
      <c r="F94" s="6">
        <f t="shared" si="5"/>
        <v>46</v>
      </c>
      <c r="G94" s="24">
        <f t="shared" si="2"/>
        <v>17.244218998113745</v>
      </c>
      <c r="H94" s="24">
        <f t="shared" si="3"/>
        <v>2.7757839182978525</v>
      </c>
      <c r="I94" s="24">
        <f t="shared" si="4"/>
        <v>20.020002916411599</v>
      </c>
      <c r="J94" s="44">
        <f t="shared" si="6"/>
        <v>-20.020002916411599</v>
      </c>
    </row>
    <row r="95" spans="6:10">
      <c r="F95" s="6">
        <f t="shared" si="5"/>
        <v>47</v>
      </c>
      <c r="G95" s="24">
        <f t="shared" si="2"/>
        <v>17.416661188094878</v>
      </c>
      <c r="H95" s="24">
        <f t="shared" si="3"/>
        <v>2.6033417283167148</v>
      </c>
      <c r="I95" s="24">
        <f t="shared" si="4"/>
        <v>20.020002916411592</v>
      </c>
      <c r="J95" s="44">
        <f t="shared" si="6"/>
        <v>-20.020002916411592</v>
      </c>
    </row>
    <row r="96" spans="6:10">
      <c r="F96" s="6">
        <f t="shared" si="5"/>
        <v>48</v>
      </c>
      <c r="G96" s="24">
        <f t="shared" si="2"/>
        <v>17.59082779997583</v>
      </c>
      <c r="H96" s="24">
        <f t="shared" si="3"/>
        <v>2.4291751164357662</v>
      </c>
      <c r="I96" s="24">
        <f t="shared" si="4"/>
        <v>20.020002916411595</v>
      </c>
      <c r="J96" s="44">
        <f t="shared" si="6"/>
        <v>-20.020002916411595</v>
      </c>
    </row>
    <row r="97" spans="2:10">
      <c r="F97" s="6">
        <f t="shared" si="5"/>
        <v>49</v>
      </c>
      <c r="G97" s="24">
        <f t="shared" si="2"/>
        <v>17.76673607797559</v>
      </c>
      <c r="H97" s="24">
        <f t="shared" si="3"/>
        <v>2.2532668384360082</v>
      </c>
      <c r="I97" s="24">
        <f t="shared" si="4"/>
        <v>20.020002916411599</v>
      </c>
      <c r="J97" s="44">
        <f t="shared" si="6"/>
        <v>-20.020002916411599</v>
      </c>
    </row>
    <row r="98" spans="2:10">
      <c r="F98" s="6">
        <f t="shared" si="5"/>
        <v>50</v>
      </c>
      <c r="G98" s="24">
        <f t="shared" si="2"/>
        <v>17.944403438755344</v>
      </c>
      <c r="H98" s="24">
        <f t="shared" si="3"/>
        <v>2.0755994776562519</v>
      </c>
      <c r="I98" s="24">
        <f t="shared" si="4"/>
        <v>20.020002916411595</v>
      </c>
      <c r="J98" s="44">
        <f t="shared" si="6"/>
        <v>-20.020002916411595</v>
      </c>
    </row>
    <row r="99" spans="2:10">
      <c r="F99" s="6">
        <f t="shared" si="5"/>
        <v>51</v>
      </c>
      <c r="G99" s="24">
        <f t="shared" si="2"/>
        <v>18.123847473142895</v>
      </c>
      <c r="H99" s="24">
        <f t="shared" si="3"/>
        <v>1.8961554432686984</v>
      </c>
      <c r="I99" s="24">
        <f t="shared" si="4"/>
        <v>20.020002916411592</v>
      </c>
      <c r="J99" s="44">
        <f t="shared" si="6"/>
        <v>-20.020002916411592</v>
      </c>
    </row>
    <row r="100" spans="2:10">
      <c r="F100" s="6">
        <f t="shared" si="5"/>
        <v>52</v>
      </c>
      <c r="G100" s="24">
        <f t="shared" si="2"/>
        <v>18.305085947874325</v>
      </c>
      <c r="H100" s="24">
        <f t="shared" si="3"/>
        <v>1.7149169685372696</v>
      </c>
      <c r="I100" s="24">
        <f t="shared" si="4"/>
        <v>20.020002916411595</v>
      </c>
      <c r="J100" s="44">
        <f t="shared" si="6"/>
        <v>-20.020002916411595</v>
      </c>
    </row>
    <row r="101" spans="2:10">
      <c r="F101" s="6">
        <f t="shared" si="5"/>
        <v>53</v>
      </c>
      <c r="G101" s="24">
        <f t="shared" si="2"/>
        <v>18.488136807353069</v>
      </c>
      <c r="H101" s="24">
        <f t="shared" si="3"/>
        <v>1.5318661090585262</v>
      </c>
      <c r="I101" s="24">
        <f t="shared" si="4"/>
        <v>20.020002916411595</v>
      </c>
      <c r="J101" s="44">
        <f t="shared" si="6"/>
        <v>-20.020002916411595</v>
      </c>
    </row>
    <row r="102" spans="2:10">
      <c r="F102" s="6">
        <f t="shared" si="5"/>
        <v>54</v>
      </c>
      <c r="G102" s="24">
        <f t="shared" si="2"/>
        <v>18.673018175426598</v>
      </c>
      <c r="H102" s="24">
        <f t="shared" si="3"/>
        <v>1.3469847409849953</v>
      </c>
      <c r="I102" s="24">
        <f t="shared" si="4"/>
        <v>20.020002916411595</v>
      </c>
      <c r="J102" s="44">
        <f t="shared" si="6"/>
        <v>-20.020002916411595</v>
      </c>
    </row>
    <row r="103" spans="2:10">
      <c r="F103" s="6">
        <f t="shared" si="5"/>
        <v>55</v>
      </c>
      <c r="G103" s="24">
        <f t="shared" si="2"/>
        <v>18.859748357180866</v>
      </c>
      <c r="H103" s="24">
        <f t="shared" si="3"/>
        <v>1.1602545592307294</v>
      </c>
      <c r="I103" s="24">
        <f t="shared" si="4"/>
        <v>20.020002916411595</v>
      </c>
      <c r="J103" s="44">
        <f t="shared" si="6"/>
        <v>-20.020002916411595</v>
      </c>
    </row>
    <row r="104" spans="2:10">
      <c r="F104" s="6">
        <f t="shared" si="5"/>
        <v>56</v>
      </c>
      <c r="G104" s="24">
        <f t="shared" si="2"/>
        <v>19.048345840752674</v>
      </c>
      <c r="H104" s="24">
        <f t="shared" si="3"/>
        <v>0.97165707565892068</v>
      </c>
      <c r="I104" s="24">
        <f t="shared" si="4"/>
        <v>20.020002916411595</v>
      </c>
      <c r="J104" s="44">
        <f t="shared" si="6"/>
        <v>-20.020002916411595</v>
      </c>
    </row>
    <row r="105" spans="2:10">
      <c r="F105" s="6">
        <f t="shared" si="5"/>
        <v>57</v>
      </c>
      <c r="G105" s="24">
        <f t="shared" si="2"/>
        <v>19.238829299160201</v>
      </c>
      <c r="H105" s="24">
        <f t="shared" si="3"/>
        <v>0.78117361725139389</v>
      </c>
      <c r="I105" s="24">
        <f t="shared" si="4"/>
        <v>20.020002916411595</v>
      </c>
      <c r="J105" s="44">
        <f t="shared" si="6"/>
        <v>-20.020002916411595</v>
      </c>
    </row>
    <row r="106" spans="2:10">
      <c r="F106" s="6">
        <f t="shared" si="5"/>
        <v>58</v>
      </c>
      <c r="G106" s="24">
        <f t="shared" si="2"/>
        <v>19.431217592151803</v>
      </c>
      <c r="H106" s="24">
        <f t="shared" si="3"/>
        <v>0.58878532425979191</v>
      </c>
      <c r="I106" s="24">
        <f t="shared" si="4"/>
        <v>20.020002916411595</v>
      </c>
      <c r="J106" s="44">
        <f t="shared" si="6"/>
        <v>-20.020002916411595</v>
      </c>
    </row>
    <row r="107" spans="2:10">
      <c r="F107" s="6">
        <f t="shared" si="5"/>
        <v>59</v>
      </c>
      <c r="G107" s="24">
        <f t="shared" si="2"/>
        <v>19.625529768073321</v>
      </c>
      <c r="H107" s="24">
        <f t="shared" si="3"/>
        <v>0.39447314833827385</v>
      </c>
      <c r="I107" s="24">
        <f t="shared" si="4"/>
        <v>20.020002916411595</v>
      </c>
      <c r="J107" s="44">
        <f t="shared" si="6"/>
        <v>-20.020002916411595</v>
      </c>
    </row>
    <row r="108" spans="2:10">
      <c r="F108" s="6">
        <f t="shared" si="5"/>
        <v>60</v>
      </c>
      <c r="G108" s="24">
        <f t="shared" si="2"/>
        <v>19.821785065754053</v>
      </c>
      <c r="H108" s="24">
        <f t="shared" si="3"/>
        <v>0.19821785065754058</v>
      </c>
      <c r="I108" s="24">
        <f t="shared" si="4"/>
        <v>20.020002916411595</v>
      </c>
      <c r="J108" s="44">
        <f t="shared" si="6"/>
        <v>-20.020002916411595</v>
      </c>
    </row>
    <row r="109" spans="2:10">
      <c r="G109" s="24">
        <f>SUM(G49:G108)</f>
        <v>899.99999999999955</v>
      </c>
      <c r="H109" s="24">
        <f>SUM(H49:H108)</f>
        <v>301.20017498469593</v>
      </c>
      <c r="I109" s="24">
        <f>SUM(I49:I108)</f>
        <v>1201.2001749846966</v>
      </c>
      <c r="J109" s="44"/>
    </row>
    <row r="111" spans="2:10" ht="27" thickBot="1">
      <c r="B111" s="2" t="s">
        <v>41</v>
      </c>
      <c r="G111" s="2" t="s">
        <v>42</v>
      </c>
    </row>
    <row r="112" spans="2:10">
      <c r="B112" s="52" t="s">
        <v>39</v>
      </c>
      <c r="C112" s="53"/>
      <c r="D112" s="53"/>
      <c r="E112" s="54"/>
      <c r="G112" s="55" t="s">
        <v>43</v>
      </c>
      <c r="H112" s="56"/>
      <c r="I112" s="57"/>
    </row>
    <row r="113" spans="1:9">
      <c r="B113" s="32" t="s">
        <v>30</v>
      </c>
      <c r="C113" s="33"/>
      <c r="D113" s="33"/>
      <c r="E113" s="50">
        <v>900</v>
      </c>
      <c r="G113" s="58"/>
      <c r="H113" s="59"/>
      <c r="I113" s="60">
        <f>+E113*0.9</f>
        <v>810</v>
      </c>
    </row>
    <row r="114" spans="1:9">
      <c r="B114" s="32" t="s">
        <v>46</v>
      </c>
      <c r="C114" s="33"/>
      <c r="D114" s="33"/>
      <c r="E114" s="50">
        <v>20</v>
      </c>
      <c r="G114" s="32"/>
      <c r="H114" s="33"/>
      <c r="I114" s="50"/>
    </row>
    <row r="115" spans="1:9">
      <c r="B115" s="32" t="s">
        <v>40</v>
      </c>
      <c r="C115" s="33"/>
      <c r="D115" s="33"/>
      <c r="E115" s="50">
        <v>60</v>
      </c>
      <c r="G115" s="32"/>
      <c r="H115" s="33"/>
      <c r="I115" s="50"/>
    </row>
    <row r="116" spans="1:9" ht="27" thickBot="1">
      <c r="B116" s="35"/>
      <c r="C116" s="36"/>
      <c r="D116" s="36"/>
      <c r="E116" s="51"/>
      <c r="G116" s="35"/>
      <c r="H116" s="36"/>
      <c r="I116" s="51"/>
    </row>
    <row r="118" spans="1:9" ht="27" thickBot="1">
      <c r="E118" s="2" t="s">
        <v>44</v>
      </c>
    </row>
    <row r="119" spans="1:9">
      <c r="E119" s="61" t="s">
        <v>45</v>
      </c>
      <c r="F119" s="62"/>
      <c r="G119" s="62"/>
      <c r="H119" s="63"/>
    </row>
    <row r="120" spans="1:9">
      <c r="E120" s="32" t="s">
        <v>30</v>
      </c>
      <c r="F120" s="33"/>
      <c r="G120" s="33"/>
      <c r="H120" s="50">
        <f>+I113</f>
        <v>810</v>
      </c>
    </row>
    <row r="121" spans="1:9">
      <c r="E121" s="32" t="s">
        <v>46</v>
      </c>
      <c r="F121" s="33"/>
      <c r="G121" s="33"/>
      <c r="H121" s="50">
        <v>20</v>
      </c>
    </row>
    <row r="122" spans="1:9">
      <c r="E122" s="32" t="s">
        <v>40</v>
      </c>
      <c r="F122" s="33"/>
      <c r="G122" s="33"/>
      <c r="H122" s="50">
        <v>60</v>
      </c>
    </row>
    <row r="123" spans="1:9" ht="27" thickBot="1">
      <c r="E123" s="35"/>
      <c r="F123" s="36"/>
      <c r="G123" s="36"/>
      <c r="H123" s="51"/>
    </row>
    <row r="125" spans="1:9" ht="27" thickBot="1"/>
    <row r="126" spans="1:9">
      <c r="A126" s="13" t="s">
        <v>47</v>
      </c>
      <c r="B126" s="14"/>
      <c r="C126" s="14"/>
      <c r="D126" s="14"/>
      <c r="F126" s="55"/>
      <c r="G126" s="56"/>
      <c r="H126" s="56"/>
      <c r="I126" s="57"/>
    </row>
    <row r="127" spans="1:9">
      <c r="A127" s="13" t="s">
        <v>48</v>
      </c>
      <c r="B127" s="14"/>
      <c r="C127" s="14"/>
      <c r="D127" s="14"/>
      <c r="F127" s="80" t="s">
        <v>49</v>
      </c>
      <c r="G127" s="59"/>
      <c r="H127" s="59"/>
      <c r="I127" s="60"/>
    </row>
    <row r="128" spans="1:9">
      <c r="A128" s="67" t="s">
        <v>30</v>
      </c>
      <c r="B128" s="67"/>
      <c r="C128" s="67"/>
      <c r="D128" s="77">
        <v>900</v>
      </c>
      <c r="F128" s="81" t="s">
        <v>30</v>
      </c>
      <c r="G128" s="82"/>
      <c r="H128" s="82"/>
      <c r="I128" s="83">
        <f>+E132</f>
        <v>810</v>
      </c>
    </row>
    <row r="129" spans="1:17">
      <c r="A129" s="67" t="s">
        <v>31</v>
      </c>
      <c r="B129" s="67"/>
      <c r="C129" s="68"/>
      <c r="D129" s="71">
        <v>0.01</v>
      </c>
      <c r="E129" s="78">
        <f>IRR(E132:E147)</f>
        <v>2.3939207668084217E-2</v>
      </c>
      <c r="F129" s="81" t="s">
        <v>31</v>
      </c>
      <c r="G129" s="82"/>
      <c r="H129" s="84"/>
      <c r="I129" s="85">
        <f>+E129</f>
        <v>2.3939207668084217E-2</v>
      </c>
    </row>
    <row r="130" spans="1:17">
      <c r="A130" s="67" t="s">
        <v>32</v>
      </c>
      <c r="B130" s="67"/>
      <c r="C130" s="67"/>
      <c r="D130" s="67">
        <v>15</v>
      </c>
      <c r="F130" s="81" t="s">
        <v>32</v>
      </c>
      <c r="G130" s="82"/>
      <c r="H130" s="82"/>
      <c r="I130" s="86">
        <v>15</v>
      </c>
    </row>
    <row r="131" spans="1:17">
      <c r="A131" s="72" t="s">
        <v>36</v>
      </c>
      <c r="B131" s="72"/>
      <c r="C131" s="73"/>
      <c r="D131" s="74">
        <v>0.1</v>
      </c>
      <c r="F131" s="87"/>
      <c r="G131" s="88"/>
      <c r="H131" s="88"/>
      <c r="I131" s="89"/>
    </row>
    <row r="132" spans="1:17" ht="27" thickBot="1">
      <c r="A132" s="67"/>
      <c r="B132" s="69" t="s">
        <v>33</v>
      </c>
      <c r="C132" s="69" t="s">
        <v>34</v>
      </c>
      <c r="D132" s="69" t="s">
        <v>35</v>
      </c>
      <c r="E132" s="76">
        <f>+D128*(1-D131)</f>
        <v>810</v>
      </c>
      <c r="F132" s="90"/>
      <c r="G132" s="91" t="s">
        <v>33</v>
      </c>
      <c r="H132" s="91" t="s">
        <v>34</v>
      </c>
      <c r="I132" s="92" t="s">
        <v>35</v>
      </c>
    </row>
    <row r="133" spans="1:17" ht="27" thickBot="1">
      <c r="A133" s="67">
        <v>1</v>
      </c>
      <c r="B133" s="70">
        <f>-PPMT(D129,A133,D130,D128,0,0)</f>
        <v>55.911402166416892</v>
      </c>
      <c r="C133" s="70">
        <f>-IPMT(D129,A133,D130,D128,0,0)</f>
        <v>9</v>
      </c>
      <c r="D133" s="79">
        <f>+B133+C133</f>
        <v>64.911402166416892</v>
      </c>
      <c r="E133" s="76">
        <f>-D133</f>
        <v>-64.911402166416892</v>
      </c>
      <c r="F133" s="90">
        <v>1</v>
      </c>
      <c r="G133" s="93">
        <f>-PPMT(I129,F133,I130,I128,0,0)</f>
        <v>45.520643955268589</v>
      </c>
      <c r="H133" s="93">
        <f>-IPMT(I129,F133,I130,I128,0,0)</f>
        <v>19.390758211148214</v>
      </c>
      <c r="I133" s="94">
        <f t="shared" ref="I133:I147" si="8">+G133+H133</f>
        <v>64.911402166416806</v>
      </c>
      <c r="K133" s="101">
        <f>SUM(G134:G147)</f>
        <v>764.47935604473139</v>
      </c>
    </row>
    <row r="134" spans="1:17">
      <c r="A134" s="67">
        <f>+A133+1</f>
        <v>2</v>
      </c>
      <c r="B134" s="70">
        <f>-PPMT(D129,A134,D130,D128,0,0)</f>
        <v>56.470516188081056</v>
      </c>
      <c r="C134" s="70">
        <f>-IPMT(D129,A134,D130,D128,0,0)</f>
        <v>8.4408859783358334</v>
      </c>
      <c r="D134" s="79">
        <f t="shared" ref="D134:D147" si="9">+B134+C134</f>
        <v>64.911402166416892</v>
      </c>
      <c r="E134" s="76">
        <f t="shared" ref="E134:E147" si="10">-D134</f>
        <v>-64.911402166416892</v>
      </c>
      <c r="F134" s="90">
        <f>+F133+1</f>
        <v>2</v>
      </c>
      <c r="G134" s="93">
        <f>-PPMT(I129,F134,I130,I128,0,0)</f>
        <v>46.610372104098694</v>
      </c>
      <c r="H134" s="93">
        <f>-IPMT(I129,F134,I130,I128,0,0)</f>
        <v>18.301030062318116</v>
      </c>
      <c r="I134" s="94">
        <f t="shared" si="8"/>
        <v>64.911402166416806</v>
      </c>
    </row>
    <row r="135" spans="1:17" ht="27" thickBot="1">
      <c r="A135" s="67">
        <f t="shared" ref="A135:A147" si="11">+A134+1</f>
        <v>3</v>
      </c>
      <c r="B135" s="70">
        <f>-PPMT(D129,A135,D130,D128,0,0)</f>
        <v>57.03522134996188</v>
      </c>
      <c r="C135" s="70">
        <f>-IPMT(D129,A135,D130,D128,0,0)</f>
        <v>7.8761808164550224</v>
      </c>
      <c r="D135" s="79">
        <f t="shared" si="9"/>
        <v>64.911402166416906</v>
      </c>
      <c r="E135" s="76">
        <f t="shared" si="10"/>
        <v>-64.911402166416906</v>
      </c>
      <c r="F135" s="90">
        <f t="shared" ref="F135:F147" si="12">+F134+1</f>
        <v>3</v>
      </c>
      <c r="G135" s="93">
        <f>-PPMT(I129,F135,I130,I128,0,0)</f>
        <v>47.726187481385381</v>
      </c>
      <c r="H135" s="93">
        <f>-IPMT(I129,F135,I130,I128,0,0)</f>
        <v>17.185214685031418</v>
      </c>
      <c r="I135" s="94">
        <f t="shared" si="8"/>
        <v>64.911402166416792</v>
      </c>
    </row>
    <row r="136" spans="1:17" ht="27" thickBot="1">
      <c r="A136" s="67">
        <f t="shared" si="11"/>
        <v>4</v>
      </c>
      <c r="B136" s="70">
        <f>-PPMT(D129,A136,D130,D128,0,0)</f>
        <v>57.605573563461498</v>
      </c>
      <c r="C136" s="70">
        <f>-IPMT(D129,A136,D130,D128,0,0)</f>
        <v>7.3058286029554038</v>
      </c>
      <c r="D136" s="79">
        <f t="shared" si="9"/>
        <v>64.911402166416906</v>
      </c>
      <c r="E136" s="76">
        <f t="shared" si="10"/>
        <v>-64.911402166416906</v>
      </c>
      <c r="F136" s="90">
        <f t="shared" si="12"/>
        <v>4</v>
      </c>
      <c r="G136" s="93">
        <f>-PPMT(I129,F136,I130,I128,0,0)</f>
        <v>48.868714594708187</v>
      </c>
      <c r="H136" s="93">
        <f>-IPMT(I129,F136,I130,I128,0,0)</f>
        <v>16.042687571708612</v>
      </c>
      <c r="I136" s="94">
        <f t="shared" si="8"/>
        <v>64.911402166416792</v>
      </c>
      <c r="K136" s="101">
        <f>NPV(I129,I134:I147)</f>
        <v>764.47935604473128</v>
      </c>
    </row>
    <row r="137" spans="1:17">
      <c r="A137" s="67">
        <f t="shared" si="11"/>
        <v>5</v>
      </c>
      <c r="B137" s="70">
        <f>-PPMT(D129,A137,D130,D128,0,0)</f>
        <v>58.181629299096102</v>
      </c>
      <c r="C137" s="70">
        <f>-IPMT(D129,A137,D130,D128,0,0)</f>
        <v>6.7297728673207882</v>
      </c>
      <c r="D137" s="79">
        <f t="shared" si="9"/>
        <v>64.911402166416892</v>
      </c>
      <c r="E137" s="76">
        <f t="shared" si="10"/>
        <v>-64.911402166416892</v>
      </c>
      <c r="F137" s="90">
        <f t="shared" si="12"/>
        <v>5</v>
      </c>
      <c r="G137" s="93">
        <f>-PPMT(I129,F137,I130,I128,0,0)</f>
        <v>50.038592901863247</v>
      </c>
      <c r="H137" s="93">
        <f>-IPMT(I129,F137,I130,I128,0,0)</f>
        <v>14.872809264553556</v>
      </c>
      <c r="I137" s="94">
        <f t="shared" si="8"/>
        <v>64.911402166416806</v>
      </c>
    </row>
    <row r="138" spans="1:17">
      <c r="A138" s="67">
        <f t="shared" si="11"/>
        <v>6</v>
      </c>
      <c r="B138" s="70">
        <f>-PPMT(D129,A138,D130,D128,0,0)</f>
        <v>58.763445592087066</v>
      </c>
      <c r="C138" s="70">
        <f>-IPMT(D129,A138,D130,D128,0,0)</f>
        <v>6.147956574329827</v>
      </c>
      <c r="D138" s="79">
        <f t="shared" si="9"/>
        <v>64.911402166416892</v>
      </c>
      <c r="E138" s="76">
        <f t="shared" si="10"/>
        <v>-64.911402166416892</v>
      </c>
      <c r="F138" s="90">
        <f t="shared" si="12"/>
        <v>6</v>
      </c>
      <c r="G138" s="93">
        <f>-PPMT(I129,F138,I130,I128,0,0)</f>
        <v>51.236477168759677</v>
      </c>
      <c r="H138" s="93">
        <f>-IPMT(I129,F138,I130,I128,0,0)</f>
        <v>13.674924997657127</v>
      </c>
      <c r="I138" s="94">
        <f t="shared" si="8"/>
        <v>64.911402166416806</v>
      </c>
      <c r="P138" s="3" t="s">
        <v>52</v>
      </c>
      <c r="Q138" s="3" t="s">
        <v>53</v>
      </c>
    </row>
    <row r="139" spans="1:17">
      <c r="A139" s="67">
        <f t="shared" si="11"/>
        <v>7</v>
      </c>
      <c r="B139" s="70">
        <f>-PPMT(D129,A139,D130,D128,0,0)</f>
        <v>59.351080048007937</v>
      </c>
      <c r="C139" s="70">
        <f>-IPMT(D129,A139,D130,D128,0,0)</f>
        <v>5.5603221184089566</v>
      </c>
      <c r="D139" s="79">
        <f t="shared" si="9"/>
        <v>64.911402166416892</v>
      </c>
      <c r="E139" s="76">
        <f t="shared" si="10"/>
        <v>-64.911402166416892</v>
      </c>
      <c r="F139" s="90">
        <f t="shared" si="12"/>
        <v>7</v>
      </c>
      <c r="G139" s="93">
        <f>-PPMT(I129,F139,I130,I128,0,0)</f>
        <v>52.463037835883668</v>
      </c>
      <c r="H139" s="93">
        <f>-IPMT(I129,F139,I130,I128,0,0)</f>
        <v>12.448364330533131</v>
      </c>
      <c r="I139" s="94">
        <f t="shared" si="8"/>
        <v>64.911402166416792</v>
      </c>
      <c r="L139" s="6" t="s">
        <v>54</v>
      </c>
      <c r="M139" s="97" t="s">
        <v>50</v>
      </c>
      <c r="N139" s="97"/>
      <c r="O139" s="97"/>
      <c r="P139" s="98">
        <f>+I128</f>
        <v>810</v>
      </c>
      <c r="Q139" s="98"/>
    </row>
    <row r="140" spans="1:17">
      <c r="A140" s="67">
        <f t="shared" si="11"/>
        <v>8</v>
      </c>
      <c r="B140" s="70">
        <f>-PPMT(D129,A140,D130,D128,0,0)</f>
        <v>59.944590848488019</v>
      </c>
      <c r="C140" s="70">
        <f>-IPMT(D129,A140,D130,D128,0,0)</f>
        <v>4.9668113179288769</v>
      </c>
      <c r="D140" s="79">
        <f t="shared" si="9"/>
        <v>64.911402166416892</v>
      </c>
      <c r="E140" s="76">
        <f t="shared" si="10"/>
        <v>-64.911402166416892</v>
      </c>
      <c r="F140" s="90">
        <f t="shared" si="12"/>
        <v>8</v>
      </c>
      <c r="G140" s="93">
        <f>-PPMT(I129,F140,I130,I128,0,0)</f>
        <v>53.718961393535452</v>
      </c>
      <c r="H140" s="93">
        <f>-IPMT(I129,F140,I130,I128,0,0)</f>
        <v>11.192440772881355</v>
      </c>
      <c r="I140" s="94">
        <f t="shared" si="8"/>
        <v>64.911402166416806</v>
      </c>
      <c r="L140" s="6" t="s">
        <v>54</v>
      </c>
      <c r="M140" s="97" t="s">
        <v>51</v>
      </c>
      <c r="N140" s="97"/>
      <c r="O140" s="97"/>
      <c r="P140" s="98"/>
      <c r="Q140" s="98">
        <f>+P139</f>
        <v>810</v>
      </c>
    </row>
    <row r="141" spans="1:17">
      <c r="A141" s="67">
        <f t="shared" si="11"/>
        <v>9</v>
      </c>
      <c r="B141" s="70">
        <f>-PPMT(D129,A141,D130,D128,0,0)</f>
        <v>60.544036756972893</v>
      </c>
      <c r="C141" s="70">
        <f>-IPMT(D129,A141,D130,D128,0,0)</f>
        <v>4.3673654094439964</v>
      </c>
      <c r="D141" s="79">
        <f t="shared" si="9"/>
        <v>64.911402166416892</v>
      </c>
      <c r="E141" s="76">
        <f t="shared" si="10"/>
        <v>-64.911402166416892</v>
      </c>
      <c r="F141" s="90">
        <f t="shared" si="12"/>
        <v>9</v>
      </c>
      <c r="G141" s="93">
        <f>-PPMT(I129,F141,I130,I128,0,0)</f>
        <v>55.004950766049099</v>
      </c>
      <c r="H141" s="93">
        <f>-IPMT(I129,F141,I130,I128,0,0)</f>
        <v>9.9064514003677093</v>
      </c>
      <c r="I141" s="94">
        <f t="shared" si="8"/>
        <v>64.911402166416806</v>
      </c>
    </row>
    <row r="142" spans="1:17">
      <c r="A142" s="67">
        <f t="shared" si="11"/>
        <v>10</v>
      </c>
      <c r="B142" s="70">
        <f>-PPMT(D129,A142,D130,D128,0,0)</f>
        <v>61.149477124542628</v>
      </c>
      <c r="C142" s="70">
        <f>-IPMT(D129,A142,D130,D128,0,0)</f>
        <v>3.7619250418742674</v>
      </c>
      <c r="D142" s="79">
        <f t="shared" si="9"/>
        <v>64.911402166416892</v>
      </c>
      <c r="E142" s="76">
        <f t="shared" si="10"/>
        <v>-64.911402166416892</v>
      </c>
      <c r="F142" s="90">
        <f t="shared" si="12"/>
        <v>10</v>
      </c>
      <c r="G142" s="93">
        <f>-PPMT(I129,F142,I130,I128,0,0)</f>
        <v>56.321725705210298</v>
      </c>
      <c r="H142" s="93">
        <f>-IPMT(I129,F142,I130,I128,0,0)</f>
        <v>8.589676461206512</v>
      </c>
      <c r="I142" s="94">
        <f t="shared" si="8"/>
        <v>64.911402166416806</v>
      </c>
      <c r="L142" s="6" t="s">
        <v>55</v>
      </c>
      <c r="M142" s="97" t="s">
        <v>51</v>
      </c>
      <c r="N142" s="97"/>
      <c r="O142" s="97"/>
      <c r="P142" s="98">
        <f>+Q144-P143</f>
        <v>45.520643955268596</v>
      </c>
      <c r="Q142" s="98"/>
    </row>
    <row r="143" spans="1:17">
      <c r="A143" s="67">
        <f t="shared" si="11"/>
        <v>11</v>
      </c>
      <c r="B143" s="70">
        <f>-PPMT(D129,A143,D130,D128,0,0)</f>
        <v>61.760971895788053</v>
      </c>
      <c r="C143" s="70">
        <f>-IPMT(D129,A143,D130,D128,0,0)</f>
        <v>3.1504302706288412</v>
      </c>
      <c r="D143" s="79">
        <f t="shared" si="9"/>
        <v>64.911402166416892</v>
      </c>
      <c r="E143" s="76">
        <f t="shared" si="10"/>
        <v>-64.911402166416892</v>
      </c>
      <c r="F143" s="90">
        <f t="shared" si="12"/>
        <v>11</v>
      </c>
      <c r="G143" s="93">
        <f>-PPMT(I129,F143,I130,I128,0,0)</f>
        <v>57.670023193092199</v>
      </c>
      <c r="H143" s="93">
        <f>-IPMT(I129,F143,I130,I128,0,0)</f>
        <v>7.2413789733246059</v>
      </c>
      <c r="I143" s="94">
        <f t="shared" si="8"/>
        <v>64.911402166416806</v>
      </c>
      <c r="L143" s="6" t="s">
        <v>55</v>
      </c>
      <c r="M143" s="97" t="s">
        <v>56</v>
      </c>
      <c r="N143" s="97"/>
      <c r="O143" s="97"/>
      <c r="P143" s="98">
        <f>+H133</f>
        <v>19.390758211148214</v>
      </c>
      <c r="Q143" s="98"/>
    </row>
    <row r="144" spans="1:17">
      <c r="A144" s="67">
        <f t="shared" si="11"/>
        <v>12</v>
      </c>
      <c r="B144" s="70">
        <f>-PPMT(D129,A144,D130,D128,0,0)</f>
        <v>62.37858161474594</v>
      </c>
      <c r="C144" s="70">
        <f>-IPMT(D129,A144,D130,D128,0,0)</f>
        <v>2.5328205516709601</v>
      </c>
      <c r="D144" s="79">
        <f t="shared" si="9"/>
        <v>64.911402166416906</v>
      </c>
      <c r="E144" s="76">
        <f t="shared" si="10"/>
        <v>-64.911402166416906</v>
      </c>
      <c r="F144" s="90">
        <f t="shared" si="12"/>
        <v>12</v>
      </c>
      <c r="G144" s="93">
        <f>-PPMT(I129,F144,I130,I128,0,0)</f>
        <v>59.050597854534871</v>
      </c>
      <c r="H144" s="93">
        <f>-IPMT(I129,F144,I130,I128,0,0)</f>
        <v>5.860804311881938</v>
      </c>
      <c r="I144" s="94">
        <f t="shared" si="8"/>
        <v>64.911402166416806</v>
      </c>
      <c r="L144" s="6" t="s">
        <v>55</v>
      </c>
      <c r="M144" s="97" t="s">
        <v>50</v>
      </c>
      <c r="N144" s="97"/>
      <c r="O144" s="97"/>
      <c r="P144" s="98"/>
      <c r="Q144" s="98">
        <f>+I133</f>
        <v>64.911402166416806</v>
      </c>
    </row>
    <row r="145" spans="1:17" ht="27" thickBot="1">
      <c r="A145" s="67">
        <f t="shared" si="11"/>
        <v>13</v>
      </c>
      <c r="B145" s="70">
        <f>-PPMT(D129,A145,D130,D128,0,0)</f>
        <v>63.002367430893393</v>
      </c>
      <c r="C145" s="70">
        <f>-IPMT(D129,A145,D130,D128,0,0)</f>
        <v>1.9090347355235011</v>
      </c>
      <c r="D145" s="79">
        <f t="shared" si="9"/>
        <v>64.911402166416892</v>
      </c>
      <c r="E145" s="76">
        <f t="shared" si="10"/>
        <v>-64.911402166416892</v>
      </c>
      <c r="F145" s="90">
        <f t="shared" si="12"/>
        <v>13</v>
      </c>
      <c r="G145" s="93">
        <f>-PPMT(I129,F145,I130,I128,0,0)</f>
        <v>60.464222379499105</v>
      </c>
      <c r="H145" s="93">
        <f>-IPMT(I129,F145,I130,I128,0,0)</f>
        <v>4.4471797869176992</v>
      </c>
      <c r="I145" s="94">
        <f t="shared" si="8"/>
        <v>64.911402166416806</v>
      </c>
    </row>
    <row r="146" spans="1:17" ht="27" thickBot="1">
      <c r="A146" s="67">
        <f t="shared" si="11"/>
        <v>14</v>
      </c>
      <c r="B146" s="70">
        <f>-PPMT(D129,A146,D130,D128,0,0)</f>
        <v>63.632391105202323</v>
      </c>
      <c r="C146" s="70">
        <f>-IPMT(D129,A146,D130,D128,0,0)</f>
        <v>1.2790110612145671</v>
      </c>
      <c r="D146" s="79">
        <f t="shared" si="9"/>
        <v>64.911402166416892</v>
      </c>
      <c r="E146" s="76">
        <f t="shared" si="10"/>
        <v>-64.911402166416892</v>
      </c>
      <c r="F146" s="90">
        <f t="shared" si="12"/>
        <v>14</v>
      </c>
      <c r="G146" s="93">
        <f>-PPMT(I129,F146,I130,I128,0,0)</f>
        <v>61.911687955531157</v>
      </c>
      <c r="H146" s="93">
        <f>-IPMT(I129,F146,I130,I128,0,0)</f>
        <v>2.9997142108856454</v>
      </c>
      <c r="I146" s="94">
        <f t="shared" si="8"/>
        <v>64.911402166416806</v>
      </c>
      <c r="M146" s="99" t="s">
        <v>57</v>
      </c>
      <c r="N146" s="100"/>
      <c r="O146" s="100"/>
      <c r="P146" s="100"/>
      <c r="Q146" s="101">
        <f>+Q140-P142</f>
        <v>764.47935604473139</v>
      </c>
    </row>
    <row r="147" spans="1:17">
      <c r="A147" s="67">
        <f t="shared" si="11"/>
        <v>15</v>
      </c>
      <c r="B147" s="70">
        <f>-PPMT(D129,A147,D130,D128,0,0)</f>
        <v>64.268715016254347</v>
      </c>
      <c r="C147" s="70">
        <f>-IPMT(D129,A147,D130,D128,0,0)</f>
        <v>0.64268715016254363</v>
      </c>
      <c r="D147" s="79">
        <f t="shared" si="9"/>
        <v>64.911402166416892</v>
      </c>
      <c r="E147" s="76">
        <f t="shared" si="10"/>
        <v>-64.911402166416892</v>
      </c>
      <c r="F147" s="90">
        <f t="shared" si="12"/>
        <v>15</v>
      </c>
      <c r="G147" s="93">
        <f>-PPMT(I129,F147,I130,I128,0,0)</f>
        <v>63.393804710580248</v>
      </c>
      <c r="H147" s="93">
        <f>-IPMT(I129,F147,I130,I128,0,0)</f>
        <v>1.5175974558365561</v>
      </c>
      <c r="I147" s="94">
        <f t="shared" si="8"/>
        <v>64.911402166416806</v>
      </c>
    </row>
    <row r="148" spans="1:17" ht="27" thickBot="1">
      <c r="B148" s="75">
        <f>SUM(B133:B147)</f>
        <v>900</v>
      </c>
      <c r="C148" s="75">
        <f t="shared" ref="C148:D148" si="13">SUM(C133:C147)</f>
        <v>73.671032496253403</v>
      </c>
      <c r="D148" s="75">
        <f t="shared" si="13"/>
        <v>973.67103249625359</v>
      </c>
      <c r="F148" s="35"/>
      <c r="G148" s="95">
        <f>SUM(G133:G147)</f>
        <v>810</v>
      </c>
      <c r="H148" s="95">
        <f t="shared" ref="H148" si="14">SUM(H133:H147)</f>
        <v>163.6710324962522</v>
      </c>
      <c r="I148" s="96">
        <f>SUM(I133:I147)</f>
        <v>973.67103249625188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F2C1-D6E9-414C-A173-E98DAB66537A}">
  <dimension ref="A1:S345"/>
  <sheetViews>
    <sheetView zoomScale="90" zoomScaleNormal="90" workbookViewId="0">
      <pane ySplit="3" topLeftCell="A288" activePane="bottomLeft" state="frozen"/>
      <selection pane="bottomLeft" activeCell="B296" sqref="B296"/>
    </sheetView>
  </sheetViews>
  <sheetFormatPr baseColWidth="10" defaultRowHeight="21"/>
  <cols>
    <col min="1" max="1" width="11" style="104"/>
    <col min="2" max="2" width="13.25" style="104" customWidth="1"/>
    <col min="3" max="3" width="11.625" style="104" bestFit="1" customWidth="1"/>
    <col min="4" max="4" width="14.25" style="104" customWidth="1"/>
    <col min="5" max="5" width="11.75" style="104" customWidth="1"/>
    <col min="6" max="6" width="13.75" style="104" customWidth="1"/>
    <col min="7" max="7" width="12.625" style="104" bestFit="1" customWidth="1"/>
    <col min="8" max="9" width="13.375" style="104" customWidth="1"/>
    <col min="10" max="10" width="13.75" style="104" bestFit="1" customWidth="1"/>
    <col min="11" max="11" width="8.875" style="103" customWidth="1"/>
    <col min="12" max="19" width="11" style="102"/>
  </cols>
  <sheetData>
    <row r="1" spans="1:19" ht="31.5">
      <c r="A1" s="166" t="s">
        <v>126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9" s="105" customFormat="1" ht="31.5">
      <c r="A2" s="168" t="s">
        <v>58</v>
      </c>
      <c r="K2" s="103"/>
      <c r="L2" s="102"/>
      <c r="M2" s="102"/>
      <c r="N2" s="102"/>
      <c r="O2" s="102"/>
      <c r="P2" s="102"/>
      <c r="Q2" s="102"/>
      <c r="R2" s="102"/>
      <c r="S2" s="102"/>
    </row>
    <row r="3" spans="1:19" ht="26.25">
      <c r="A3" s="12"/>
      <c r="B3"/>
      <c r="C3"/>
      <c r="D3"/>
      <c r="E3"/>
      <c r="F3"/>
      <c r="G3"/>
      <c r="H3"/>
      <c r="I3"/>
      <c r="J3"/>
    </row>
    <row r="4" spans="1:19" ht="14.25">
      <c r="A4"/>
      <c r="B4"/>
      <c r="C4"/>
      <c r="D4"/>
      <c r="E4"/>
      <c r="F4"/>
      <c r="G4"/>
      <c r="H4"/>
      <c r="I4"/>
      <c r="J4"/>
    </row>
    <row r="5" spans="1:19" ht="21.75" thickBot="1">
      <c r="A5" s="121" t="s">
        <v>59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9" ht="21.75" thickBot="1">
      <c r="E6" s="200" t="s">
        <v>103</v>
      </c>
      <c r="F6" s="201"/>
      <c r="G6" s="201"/>
      <c r="H6" s="201"/>
      <c r="I6" s="201"/>
      <c r="J6" s="202"/>
    </row>
    <row r="7" spans="1:19">
      <c r="A7" s="194" t="s">
        <v>60</v>
      </c>
      <c r="B7" s="195"/>
      <c r="C7" s="196">
        <v>900000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14" t="s">
        <v>74</v>
      </c>
    </row>
    <row r="8" spans="1:19">
      <c r="A8" s="212" t="s">
        <v>61</v>
      </c>
      <c r="B8" s="213"/>
      <c r="C8" s="214">
        <v>0.01</v>
      </c>
      <c r="D8" s="104">
        <v>1</v>
      </c>
      <c r="E8" s="222">
        <f>-PPMT($C$8,D8,$C$9,$C$7,0,0)</f>
        <v>14700.45188873499</v>
      </c>
      <c r="F8" s="222">
        <f>-IPMT($C$8,D8,$C$9,$C$7,0,0)</f>
        <v>9000</v>
      </c>
      <c r="G8" s="133">
        <f>+E8+F8</f>
        <v>23700.451888734991</v>
      </c>
      <c r="H8" s="222">
        <f>SUM(E8:$E$55)*$C$11</f>
        <v>719.99999999999977</v>
      </c>
      <c r="I8" s="222">
        <v>0</v>
      </c>
      <c r="J8" s="222">
        <f t="shared" ref="J8:J21" si="0">+E8+F8+H8+I8</f>
        <v>24420.451888734991</v>
      </c>
    </row>
    <row r="9" spans="1:19">
      <c r="A9" s="197" t="s">
        <v>62</v>
      </c>
      <c r="B9" s="198"/>
      <c r="C9" s="199">
        <v>48</v>
      </c>
      <c r="D9" s="104">
        <f>+D8+1</f>
        <v>2</v>
      </c>
      <c r="E9" s="106">
        <f>-PPMT($C$8,D9,$C$9,$C$7,0,0)</f>
        <v>14847.45640762234</v>
      </c>
      <c r="F9" s="106">
        <f>-IPMT($C$8,D9,$C$9,$C$7,0,0)</f>
        <v>8852.9954811126499</v>
      </c>
      <c r="G9" s="133">
        <f>+E9+F9</f>
        <v>23700.451888734991</v>
      </c>
      <c r="H9" s="106">
        <f>SUM(E9:$E$55)*$C$11</f>
        <v>708.23963848901167</v>
      </c>
      <c r="I9" s="106">
        <v>0</v>
      </c>
      <c r="J9" s="133">
        <f t="shared" si="0"/>
        <v>24408.691527224004</v>
      </c>
    </row>
    <row r="10" spans="1:19" ht="21.75" thickBot="1">
      <c r="A10" s="203" t="s">
        <v>63</v>
      </c>
      <c r="B10" s="204"/>
      <c r="C10" s="205">
        <v>0.1</v>
      </c>
      <c r="D10" s="104">
        <f t="shared" ref="D10:D55" si="1">+D9+1</f>
        <v>3</v>
      </c>
      <c r="E10" s="106">
        <f>-PPMT($C$8,D10,$C$9,$C$7,0,0)</f>
        <v>14995.930971698561</v>
      </c>
      <c r="F10" s="106">
        <f>-IPMT($C$8,D10,$C$9,$C$7,0,0)</f>
        <v>8704.5209170364233</v>
      </c>
      <c r="G10" s="133">
        <f>+E10+F10</f>
        <v>23700.451888734984</v>
      </c>
      <c r="H10" s="106">
        <f>SUM(E10:$E$55)*$C$11</f>
        <v>696.36167336291385</v>
      </c>
      <c r="I10" s="106">
        <v>0</v>
      </c>
      <c r="J10" s="133">
        <f t="shared" si="0"/>
        <v>24396.813562097897</v>
      </c>
    </row>
    <row r="11" spans="1:19">
      <c r="C11" s="107">
        <v>8.0000000000000004E-4</v>
      </c>
      <c r="D11" s="104">
        <f t="shared" si="1"/>
        <v>4</v>
      </c>
      <c r="E11" s="106">
        <f>-PPMT($C$8,D11,$C$9,$C$7,0,0)</f>
        <v>15145.890281415546</v>
      </c>
      <c r="F11" s="106">
        <f>-IPMT($C$8,D11,$C$9,$C$7,0,0)</f>
        <v>8554.5616073194396</v>
      </c>
      <c r="G11" s="133">
        <f>+E11+F11</f>
        <v>23700.451888734984</v>
      </c>
      <c r="H11" s="106">
        <f>SUM(E11:$E$55)*$C$11</f>
        <v>684.36492858555505</v>
      </c>
      <c r="I11" s="106">
        <v>0</v>
      </c>
      <c r="J11" s="133">
        <f t="shared" si="0"/>
        <v>24384.816817320538</v>
      </c>
    </row>
    <row r="12" spans="1:19">
      <c r="D12" s="104">
        <f t="shared" si="1"/>
        <v>5</v>
      </c>
      <c r="E12" s="106">
        <f t="shared" ref="E12:E55" si="2">-PPMT($C$8,D12,$C$9,$C$7,0,0)</f>
        <v>15297.349184229703</v>
      </c>
      <c r="F12" s="106">
        <f t="shared" ref="F12:F55" si="3">-IPMT($C$8,D12,$C$9,$C$7,0,0)</f>
        <v>8403.1027045052851</v>
      </c>
      <c r="G12" s="133">
        <f t="shared" ref="G12:G55" si="4">+E12+F12</f>
        <v>23700.451888734988</v>
      </c>
      <c r="H12" s="106">
        <f>SUM(E12:$E$55)*$C$11</f>
        <v>672.24821636042259</v>
      </c>
      <c r="I12" s="106">
        <v>0</v>
      </c>
      <c r="J12" s="133">
        <f t="shared" si="0"/>
        <v>24372.70010509541</v>
      </c>
    </row>
    <row r="13" spans="1:19" ht="21.75" thickBot="1">
      <c r="D13" s="104">
        <f t="shared" si="1"/>
        <v>6</v>
      </c>
      <c r="E13" s="106">
        <f t="shared" si="2"/>
        <v>15450.322676071999</v>
      </c>
      <c r="F13" s="106">
        <f t="shared" si="3"/>
        <v>8250.1292126629869</v>
      </c>
      <c r="G13" s="133">
        <f t="shared" si="4"/>
        <v>23700.451888734984</v>
      </c>
      <c r="H13" s="106">
        <f>SUM(E13:$E$55)*$C$11</f>
        <v>660.01033701303879</v>
      </c>
      <c r="I13" s="106">
        <v>0</v>
      </c>
      <c r="J13" s="133">
        <f t="shared" si="0"/>
        <v>24360.462225748022</v>
      </c>
    </row>
    <row r="14" spans="1:19">
      <c r="A14" s="207" t="s">
        <v>146</v>
      </c>
      <c r="B14" s="147"/>
      <c r="C14" s="208"/>
      <c r="D14" s="104">
        <f t="shared" si="1"/>
        <v>7</v>
      </c>
      <c r="E14" s="106">
        <f t="shared" si="2"/>
        <v>15604.825902832719</v>
      </c>
      <c r="F14" s="106">
        <f t="shared" si="3"/>
        <v>8095.6259859022675</v>
      </c>
      <c r="G14" s="133">
        <f t="shared" si="4"/>
        <v>23700.451888734988</v>
      </c>
      <c r="H14" s="106">
        <f>SUM(E14:$E$55)*$C$11</f>
        <v>647.65007887218121</v>
      </c>
      <c r="I14" s="106">
        <v>0</v>
      </c>
      <c r="J14" s="133">
        <f t="shared" si="0"/>
        <v>24348.10196760717</v>
      </c>
    </row>
    <row r="15" spans="1:19">
      <c r="A15" s="209" t="s">
        <v>147</v>
      </c>
      <c r="B15" s="210"/>
      <c r="C15" s="211">
        <f>C7*(1-C10)</f>
        <v>810000</v>
      </c>
      <c r="D15" s="104">
        <f t="shared" si="1"/>
        <v>8</v>
      </c>
      <c r="E15" s="106">
        <f t="shared" si="2"/>
        <v>15760.874161861047</v>
      </c>
      <c r="F15" s="106">
        <f t="shared" si="3"/>
        <v>7939.5777268739421</v>
      </c>
      <c r="G15" s="133">
        <f t="shared" si="4"/>
        <v>23700.451888734991</v>
      </c>
      <c r="H15" s="106">
        <f>SUM(E15:$E$55)*$C$11</f>
        <v>635.16621814991504</v>
      </c>
      <c r="I15" s="106">
        <v>0</v>
      </c>
      <c r="J15" s="133">
        <f t="shared" si="0"/>
        <v>24335.618106884907</v>
      </c>
    </row>
    <row r="16" spans="1:19" ht="21.75" thickBot="1">
      <c r="A16" s="165" t="s">
        <v>148</v>
      </c>
      <c r="B16" s="149"/>
      <c r="C16" s="150"/>
      <c r="D16" s="104">
        <f t="shared" si="1"/>
        <v>9</v>
      </c>
      <c r="E16" s="106">
        <f t="shared" si="2"/>
        <v>15918.482903479657</v>
      </c>
      <c r="F16" s="106">
        <f t="shared" si="3"/>
        <v>7781.9689852553292</v>
      </c>
      <c r="G16" s="133">
        <f t="shared" si="4"/>
        <v>23700.451888734984</v>
      </c>
      <c r="H16" s="106">
        <f>SUM(E16:$E$55)*$C$11</f>
        <v>622.55751882042614</v>
      </c>
      <c r="I16" s="106">
        <v>0</v>
      </c>
      <c r="J16" s="133">
        <f t="shared" si="0"/>
        <v>24323.009407555412</v>
      </c>
    </row>
    <row r="17" spans="1:10">
      <c r="D17" s="104">
        <f t="shared" si="1"/>
        <v>10</v>
      </c>
      <c r="E17" s="106">
        <f t="shared" si="2"/>
        <v>16077.667732514456</v>
      </c>
      <c r="F17" s="106">
        <f t="shared" si="3"/>
        <v>7622.7841562205331</v>
      </c>
      <c r="G17" s="133">
        <f t="shared" si="4"/>
        <v>23700.451888734988</v>
      </c>
      <c r="H17" s="106">
        <f>SUM(E17:$E$55)*$C$11</f>
        <v>609.82273249764251</v>
      </c>
      <c r="I17" s="106">
        <v>0</v>
      </c>
      <c r="J17" s="133">
        <f t="shared" si="0"/>
        <v>24310.274621232631</v>
      </c>
    </row>
    <row r="18" spans="1:10">
      <c r="A18" s="108" t="s">
        <v>149</v>
      </c>
      <c r="B18" s="108"/>
      <c r="C18" s="108"/>
      <c r="D18" s="104">
        <f t="shared" si="1"/>
        <v>11</v>
      </c>
      <c r="E18" s="106">
        <f t="shared" si="2"/>
        <v>16238.4444098396</v>
      </c>
      <c r="F18" s="106">
        <f t="shared" si="3"/>
        <v>7462.0074788953889</v>
      </c>
      <c r="G18" s="133">
        <f t="shared" si="4"/>
        <v>23700.451888734988</v>
      </c>
      <c r="H18" s="106">
        <f>SUM(E18:$E$55)*$C$11</f>
        <v>596.96059831163097</v>
      </c>
      <c r="I18" s="106">
        <v>0</v>
      </c>
      <c r="J18" s="133">
        <f t="shared" si="0"/>
        <v>24297.412487046618</v>
      </c>
    </row>
    <row r="19" spans="1:10">
      <c r="A19" s="108"/>
      <c r="B19" s="108"/>
      <c r="C19" s="206">
        <f>+C15</f>
        <v>810000</v>
      </c>
      <c r="D19" s="104">
        <f t="shared" si="1"/>
        <v>12</v>
      </c>
      <c r="E19" s="106">
        <f t="shared" si="2"/>
        <v>16400.828853937994</v>
      </c>
      <c r="F19" s="106">
        <f t="shared" si="3"/>
        <v>7299.6230347969931</v>
      </c>
      <c r="G19" s="133">
        <f t="shared" si="4"/>
        <v>23700.451888734988</v>
      </c>
      <c r="H19" s="106">
        <f>SUM(E19:$E$55)*$C$11</f>
        <v>583.9698427837593</v>
      </c>
      <c r="I19" s="106">
        <v>0</v>
      </c>
      <c r="J19" s="133">
        <f t="shared" si="0"/>
        <v>24284.421731518749</v>
      </c>
    </row>
    <row r="20" spans="1:10">
      <c r="A20" s="108" t="s">
        <v>150</v>
      </c>
      <c r="D20" s="104">
        <f t="shared" si="1"/>
        <v>13</v>
      </c>
      <c r="E20" s="106">
        <f t="shared" si="2"/>
        <v>16564.837142477376</v>
      </c>
      <c r="F20" s="106">
        <f t="shared" si="3"/>
        <v>7135.6147462576128</v>
      </c>
      <c r="G20" s="133">
        <f t="shared" si="4"/>
        <v>23700.451888734988</v>
      </c>
      <c r="H20" s="106">
        <f>SUM(E20:$E$55)*$C$11</f>
        <v>570.84917970060883</v>
      </c>
      <c r="I20" s="106">
        <v>0</v>
      </c>
      <c r="J20" s="133">
        <f t="shared" si="0"/>
        <v>24271.301068435598</v>
      </c>
    </row>
    <row r="21" spans="1:10">
      <c r="C21" s="108" t="s">
        <v>151</v>
      </c>
      <c r="D21" s="104">
        <f t="shared" si="1"/>
        <v>14</v>
      </c>
      <c r="E21" s="106">
        <f t="shared" si="2"/>
        <v>16730.485513902149</v>
      </c>
      <c r="F21" s="106">
        <f t="shared" si="3"/>
        <v>6969.9663748328385</v>
      </c>
      <c r="G21" s="133">
        <f t="shared" si="4"/>
        <v>23700.451888734988</v>
      </c>
      <c r="H21" s="106">
        <f>SUM(E21:$E$55)*$C$11</f>
        <v>557.59730998662701</v>
      </c>
      <c r="I21" s="106">
        <v>0</v>
      </c>
      <c r="J21" s="133">
        <f t="shared" si="0"/>
        <v>24258.049198721616</v>
      </c>
    </row>
    <row r="22" spans="1:10">
      <c r="D22" s="104">
        <f t="shared" si="1"/>
        <v>15</v>
      </c>
      <c r="E22" s="106">
        <f t="shared" si="2"/>
        <v>16897.790369041169</v>
      </c>
      <c r="F22" s="106">
        <f t="shared" si="3"/>
        <v>6802.6615196938183</v>
      </c>
      <c r="G22" s="133">
        <f t="shared" si="4"/>
        <v>23700.451888734988</v>
      </c>
      <c r="H22" s="106">
        <f>SUM(E22:$E$55)*$C$11</f>
        <v>544.21292157550533</v>
      </c>
      <c r="I22" s="106">
        <v>0</v>
      </c>
      <c r="J22" s="133">
        <f t="shared" ref="J22:J55" si="5">+E22+F22+H22+I22</f>
        <v>24244.664810310493</v>
      </c>
    </row>
    <row r="23" spans="1:10">
      <c r="D23" s="104">
        <f t="shared" si="1"/>
        <v>16</v>
      </c>
      <c r="E23" s="106">
        <f t="shared" si="2"/>
        <v>17066.768272731581</v>
      </c>
      <c r="F23" s="106">
        <f t="shared" si="3"/>
        <v>6633.6836160034063</v>
      </c>
      <c r="G23" s="133">
        <f t="shared" si="4"/>
        <v>23700.451888734988</v>
      </c>
      <c r="H23" s="106">
        <f>SUM(E23:$E$55)*$C$11</f>
        <v>530.69468928027243</v>
      </c>
      <c r="I23" s="106">
        <v>0</v>
      </c>
      <c r="J23" s="133">
        <f t="shared" si="5"/>
        <v>24231.146578015261</v>
      </c>
    </row>
    <row r="24" spans="1:10">
      <c r="D24" s="104">
        <f t="shared" si="1"/>
        <v>17</v>
      </c>
      <c r="E24" s="106">
        <f t="shared" si="2"/>
        <v>17237.435955458895</v>
      </c>
      <c r="F24" s="106">
        <f t="shared" si="3"/>
        <v>6463.0159332760886</v>
      </c>
      <c r="G24" s="133">
        <f t="shared" si="4"/>
        <v>23700.451888734984</v>
      </c>
      <c r="H24" s="106">
        <f>SUM(E24:$E$55)*$C$11</f>
        <v>517.04127466208718</v>
      </c>
      <c r="I24" s="106">
        <v>0</v>
      </c>
      <c r="J24" s="133">
        <f t="shared" si="5"/>
        <v>24217.49316339707</v>
      </c>
    </row>
    <row r="25" spans="1:10">
      <c r="D25" s="104">
        <f t="shared" si="1"/>
        <v>18</v>
      </c>
      <c r="E25" s="106">
        <f t="shared" si="2"/>
        <v>17409.810315013485</v>
      </c>
      <c r="F25" s="106">
        <f t="shared" si="3"/>
        <v>6290.6415737215011</v>
      </c>
      <c r="G25" s="133">
        <f t="shared" si="4"/>
        <v>23700.451888734984</v>
      </c>
      <c r="H25" s="106">
        <f>SUM(E25:$E$55)*$C$11</f>
        <v>503.25132589772011</v>
      </c>
      <c r="I25" s="106">
        <v>0</v>
      </c>
      <c r="J25" s="133">
        <f t="shared" si="5"/>
        <v>24203.703214632704</v>
      </c>
    </row>
    <row r="26" spans="1:10">
      <c r="D26" s="104">
        <f t="shared" si="1"/>
        <v>19</v>
      </c>
      <c r="E26" s="106">
        <f t="shared" si="2"/>
        <v>17583.908418163624</v>
      </c>
      <c r="F26" s="106">
        <f t="shared" si="3"/>
        <v>6116.5434705713651</v>
      </c>
      <c r="G26" s="133">
        <f t="shared" si="4"/>
        <v>23700.451888734991</v>
      </c>
      <c r="H26" s="106">
        <f>SUM(E26:$E$55)*$C$11</f>
        <v>489.32347764570932</v>
      </c>
      <c r="I26" s="106">
        <v>0</v>
      </c>
      <c r="J26" s="133">
        <f t="shared" si="5"/>
        <v>24189.775366380702</v>
      </c>
    </row>
    <row r="27" spans="1:10">
      <c r="D27" s="104">
        <f t="shared" si="1"/>
        <v>20</v>
      </c>
      <c r="E27" s="106">
        <f t="shared" si="2"/>
        <v>17759.747502345257</v>
      </c>
      <c r="F27" s="106">
        <f t="shared" si="3"/>
        <v>5940.7043863897306</v>
      </c>
      <c r="G27" s="133">
        <f t="shared" si="4"/>
        <v>23700.451888734988</v>
      </c>
      <c r="H27" s="106">
        <f>SUM(E27:$E$55)*$C$11</f>
        <v>475.25635091117834</v>
      </c>
      <c r="I27" s="106">
        <v>0</v>
      </c>
      <c r="J27" s="133">
        <f t="shared" si="5"/>
        <v>24175.708239646166</v>
      </c>
    </row>
    <row r="28" spans="1:10">
      <c r="D28" s="104">
        <f t="shared" si="1"/>
        <v>21</v>
      </c>
      <c r="E28" s="106">
        <f t="shared" si="2"/>
        <v>17937.34497736871</v>
      </c>
      <c r="F28" s="106">
        <f t="shared" si="3"/>
        <v>5763.1069113662779</v>
      </c>
      <c r="G28" s="133">
        <f t="shared" si="4"/>
        <v>23700.451888734988</v>
      </c>
      <c r="H28" s="106">
        <f>SUM(E28:$E$55)*$C$11</f>
        <v>461.0485529093022</v>
      </c>
      <c r="I28" s="106">
        <v>0</v>
      </c>
      <c r="J28" s="133">
        <f t="shared" si="5"/>
        <v>24161.50044164429</v>
      </c>
    </row>
    <row r="29" spans="1:10">
      <c r="D29" s="104">
        <f t="shared" si="1"/>
        <v>22</v>
      </c>
      <c r="E29" s="106">
        <f t="shared" si="2"/>
        <v>18116.718427142398</v>
      </c>
      <c r="F29" s="106">
        <f t="shared" si="3"/>
        <v>5583.7334615925902</v>
      </c>
      <c r="G29" s="133">
        <f t="shared" si="4"/>
        <v>23700.451888734988</v>
      </c>
      <c r="H29" s="106">
        <f>SUM(E29:$E$55)*$C$11</f>
        <v>446.69867692740718</v>
      </c>
      <c r="I29" s="106">
        <v>0</v>
      </c>
      <c r="J29" s="133">
        <f t="shared" si="5"/>
        <v>24147.150565662396</v>
      </c>
    </row>
    <row r="30" spans="1:10">
      <c r="D30" s="104">
        <f t="shared" si="1"/>
        <v>23</v>
      </c>
      <c r="E30" s="106">
        <f t="shared" si="2"/>
        <v>18297.885611413822</v>
      </c>
      <c r="F30" s="106">
        <f t="shared" si="3"/>
        <v>5402.566277321167</v>
      </c>
      <c r="G30" s="133">
        <f t="shared" si="4"/>
        <v>23700.451888734988</v>
      </c>
      <c r="H30" s="106">
        <f>SUM(E30:$E$55)*$C$11</f>
        <v>432.2053021856932</v>
      </c>
      <c r="I30" s="106">
        <v>0</v>
      </c>
      <c r="J30" s="133">
        <f t="shared" si="5"/>
        <v>24132.65719092068</v>
      </c>
    </row>
    <row r="31" spans="1:10">
      <c r="D31" s="104">
        <f t="shared" si="1"/>
        <v>24</v>
      </c>
      <c r="E31" s="106">
        <f t="shared" si="2"/>
        <v>18480.864467527961</v>
      </c>
      <c r="F31" s="106">
        <f t="shared" si="3"/>
        <v>5219.5874212070285</v>
      </c>
      <c r="G31" s="133">
        <f t="shared" si="4"/>
        <v>23700.451888734991</v>
      </c>
      <c r="H31" s="106">
        <f>SUM(E31:$E$55)*$C$11</f>
        <v>417.56699369656224</v>
      </c>
      <c r="I31" s="106">
        <v>0</v>
      </c>
      <c r="J31" s="133">
        <f t="shared" si="5"/>
        <v>24118.018882431552</v>
      </c>
    </row>
    <row r="32" spans="1:10">
      <c r="D32" s="104">
        <f t="shared" si="1"/>
        <v>25</v>
      </c>
      <c r="E32" s="106">
        <f t="shared" si="2"/>
        <v>18665.67311220324</v>
      </c>
      <c r="F32" s="106">
        <f t="shared" si="3"/>
        <v>5034.778776531748</v>
      </c>
      <c r="G32" s="133">
        <f t="shared" si="4"/>
        <v>23700.451888734988</v>
      </c>
      <c r="H32" s="106">
        <f>SUM(E32:$E$55)*$C$11</f>
        <v>402.78230212253987</v>
      </c>
      <c r="I32" s="106">
        <v>0</v>
      </c>
      <c r="J32" s="133">
        <f t="shared" si="5"/>
        <v>24103.234190857529</v>
      </c>
    </row>
    <row r="33" spans="4:10">
      <c r="D33" s="104">
        <f t="shared" si="1"/>
        <v>26</v>
      </c>
      <c r="E33" s="106">
        <f t="shared" si="2"/>
        <v>18852.329843325271</v>
      </c>
      <c r="F33" s="106">
        <f t="shared" si="3"/>
        <v>4848.1220454097156</v>
      </c>
      <c r="G33" s="133">
        <f t="shared" si="4"/>
        <v>23700.451888734988</v>
      </c>
      <c r="H33" s="106">
        <f>SUM(E33:$E$55)*$C$11</f>
        <v>387.84976363277718</v>
      </c>
      <c r="I33" s="106">
        <v>0</v>
      </c>
      <c r="J33" s="133">
        <f t="shared" si="5"/>
        <v>24088.301652367765</v>
      </c>
    </row>
    <row r="34" spans="4:10">
      <c r="D34" s="104">
        <f t="shared" si="1"/>
        <v>27</v>
      </c>
      <c r="E34" s="106">
        <f t="shared" si="2"/>
        <v>19040.853141758525</v>
      </c>
      <c r="F34" s="106">
        <f t="shared" si="3"/>
        <v>4659.5987469764641</v>
      </c>
      <c r="G34" s="133">
        <f t="shared" si="4"/>
        <v>23700.451888734991</v>
      </c>
      <c r="H34" s="106">
        <f>SUM(E34:$E$55)*$C$11</f>
        <v>372.76789975811704</v>
      </c>
      <c r="I34" s="106">
        <v>0</v>
      </c>
      <c r="J34" s="133">
        <f t="shared" si="5"/>
        <v>24073.219788493108</v>
      </c>
    </row>
    <row r="35" spans="4:10">
      <c r="D35" s="104">
        <f t="shared" si="1"/>
        <v>28</v>
      </c>
      <c r="E35" s="106">
        <f t="shared" si="2"/>
        <v>19231.261673176108</v>
      </c>
      <c r="F35" s="106">
        <f t="shared" si="3"/>
        <v>4469.1902155588778</v>
      </c>
      <c r="G35" s="133">
        <f t="shared" si="4"/>
        <v>23700.451888734984</v>
      </c>
      <c r="H35" s="106">
        <f>SUM(E35:$E$55)*$C$11</f>
        <v>357.53521724471011</v>
      </c>
      <c r="I35" s="106">
        <v>0</v>
      </c>
      <c r="J35" s="133">
        <f t="shared" si="5"/>
        <v>24057.987105979693</v>
      </c>
    </row>
    <row r="36" spans="4:10">
      <c r="D36" s="104">
        <f t="shared" si="1"/>
        <v>29</v>
      </c>
      <c r="E36" s="106">
        <f t="shared" si="2"/>
        <v>19423.574289907869</v>
      </c>
      <c r="F36" s="106">
        <f t="shared" si="3"/>
        <v>4276.8775988271173</v>
      </c>
      <c r="G36" s="133">
        <f t="shared" si="4"/>
        <v>23700.451888734984</v>
      </c>
      <c r="H36" s="106">
        <f>SUM(E36:$E$55)*$C$11</f>
        <v>342.15020790616927</v>
      </c>
      <c r="I36" s="106">
        <v>0</v>
      </c>
      <c r="J36" s="133">
        <f t="shared" si="5"/>
        <v>24042.602096641152</v>
      </c>
    </row>
    <row r="37" spans="4:10">
      <c r="D37" s="104">
        <f t="shared" si="1"/>
        <v>30</v>
      </c>
      <c r="E37" s="106">
        <f t="shared" si="2"/>
        <v>19617.810032806949</v>
      </c>
      <c r="F37" s="106">
        <f t="shared" si="3"/>
        <v>4082.6418559280378</v>
      </c>
      <c r="G37" s="133">
        <f t="shared" si="4"/>
        <v>23700.451888734988</v>
      </c>
      <c r="H37" s="106">
        <f>SUM(E37:$E$55)*$C$11</f>
        <v>326.6113484742429</v>
      </c>
      <c r="I37" s="106">
        <v>0</v>
      </c>
      <c r="J37" s="133">
        <f t="shared" si="5"/>
        <v>24027.06323720923</v>
      </c>
    </row>
    <row r="38" spans="4:10">
      <c r="D38" s="104">
        <f t="shared" si="1"/>
        <v>31</v>
      </c>
      <c r="E38" s="106">
        <f t="shared" si="2"/>
        <v>19813.988133135019</v>
      </c>
      <c r="F38" s="106">
        <f t="shared" si="3"/>
        <v>3886.4637555999684</v>
      </c>
      <c r="G38" s="133">
        <f t="shared" si="4"/>
        <v>23700.451888734988</v>
      </c>
      <c r="H38" s="106">
        <f>SUM(E38:$E$55)*$C$11</f>
        <v>310.91710044799737</v>
      </c>
      <c r="I38" s="106">
        <v>0</v>
      </c>
      <c r="J38" s="133">
        <f t="shared" si="5"/>
        <v>24011.368989182985</v>
      </c>
    </row>
    <row r="39" spans="4:10">
      <c r="D39" s="104">
        <f t="shared" si="1"/>
        <v>32</v>
      </c>
      <c r="E39" s="106">
        <f t="shared" si="2"/>
        <v>20012.128014466369</v>
      </c>
      <c r="F39" s="106">
        <f t="shared" si="3"/>
        <v>3688.3238742686181</v>
      </c>
      <c r="G39" s="133">
        <f t="shared" si="4"/>
        <v>23700.451888734988</v>
      </c>
      <c r="H39" s="106">
        <f>SUM(E39:$E$55)*$C$11</f>
        <v>295.06590994148939</v>
      </c>
      <c r="I39" s="106">
        <v>0</v>
      </c>
      <c r="J39" s="133">
        <f t="shared" si="5"/>
        <v>23995.517798676476</v>
      </c>
    </row>
    <row r="40" spans="4:10">
      <c r="D40" s="104">
        <f t="shared" si="1"/>
        <v>33</v>
      </c>
      <c r="E40" s="106">
        <f t="shared" si="2"/>
        <v>20212.249294611036</v>
      </c>
      <c r="F40" s="106">
        <f t="shared" si="3"/>
        <v>3488.2025941239544</v>
      </c>
      <c r="G40" s="133">
        <f t="shared" si="4"/>
        <v>23700.451888734991</v>
      </c>
      <c r="H40" s="106">
        <f>SUM(E40:$E$55)*$C$11</f>
        <v>279.05620752991632</v>
      </c>
      <c r="I40" s="106">
        <v>0</v>
      </c>
      <c r="J40" s="133">
        <f t="shared" si="5"/>
        <v>23979.508096264908</v>
      </c>
    </row>
    <row r="41" spans="4:10">
      <c r="D41" s="104">
        <f t="shared" si="1"/>
        <v>34</v>
      </c>
      <c r="E41" s="106">
        <f t="shared" si="2"/>
        <v>20414.371787557142</v>
      </c>
      <c r="F41" s="106">
        <f t="shared" si="3"/>
        <v>3286.0801011778431</v>
      </c>
      <c r="G41" s="133">
        <f t="shared" si="4"/>
        <v>23700.451888734984</v>
      </c>
      <c r="H41" s="106">
        <f>SUM(E41:$E$55)*$C$11</f>
        <v>262.88640809422742</v>
      </c>
      <c r="I41" s="106">
        <v>0</v>
      </c>
      <c r="J41" s="133">
        <f t="shared" si="5"/>
        <v>23963.33829682921</v>
      </c>
    </row>
    <row r="42" spans="4:10">
      <c r="D42" s="104">
        <f t="shared" si="1"/>
        <v>35</v>
      </c>
      <c r="E42" s="106">
        <f t="shared" si="2"/>
        <v>20618.515505432715</v>
      </c>
      <c r="F42" s="106">
        <f t="shared" si="3"/>
        <v>3081.9363833022726</v>
      </c>
      <c r="G42" s="133">
        <f t="shared" si="4"/>
        <v>23700.451888734988</v>
      </c>
      <c r="H42" s="106">
        <f>SUM(E42:$E$55)*$C$11</f>
        <v>246.55491066418176</v>
      </c>
      <c r="I42" s="106">
        <v>0</v>
      </c>
      <c r="J42" s="133">
        <f t="shared" si="5"/>
        <v>23947.006799399169</v>
      </c>
    </row>
    <row r="43" spans="4:10">
      <c r="D43" s="104">
        <f t="shared" si="1"/>
        <v>36</v>
      </c>
      <c r="E43" s="106">
        <f t="shared" si="2"/>
        <v>20824.700660487044</v>
      </c>
      <c r="F43" s="106">
        <f t="shared" si="3"/>
        <v>2875.7512282479452</v>
      </c>
      <c r="G43" s="133">
        <f t="shared" si="4"/>
        <v>23700.451888734988</v>
      </c>
      <c r="H43" s="106">
        <f>SUM(E43:$E$55)*$C$11</f>
        <v>230.06009825983557</v>
      </c>
      <c r="I43" s="106">
        <v>0</v>
      </c>
      <c r="J43" s="133">
        <f t="shared" si="5"/>
        <v>23930.511986994825</v>
      </c>
    </row>
    <row r="44" spans="4:10">
      <c r="D44" s="104">
        <f t="shared" si="1"/>
        <v>37</v>
      </c>
      <c r="E44" s="106">
        <f t="shared" si="2"/>
        <v>21032.947667091914</v>
      </c>
      <c r="F44" s="106">
        <f t="shared" si="3"/>
        <v>2667.5042216430752</v>
      </c>
      <c r="G44" s="133">
        <f t="shared" si="4"/>
        <v>23700.451888734988</v>
      </c>
      <c r="H44" s="106">
        <f>SUM(E44:$E$55)*$C$11</f>
        <v>213.40033773144592</v>
      </c>
      <c r="I44" s="106">
        <v>0</v>
      </c>
      <c r="J44" s="133">
        <f t="shared" si="5"/>
        <v>23913.852226466435</v>
      </c>
    </row>
    <row r="45" spans="4:10">
      <c r="D45" s="104">
        <f t="shared" si="1"/>
        <v>38</v>
      </c>
      <c r="E45" s="106">
        <f t="shared" si="2"/>
        <v>21243.277143762833</v>
      </c>
      <c r="F45" s="106">
        <f t="shared" si="3"/>
        <v>2457.1747449721556</v>
      </c>
      <c r="G45" s="133">
        <f t="shared" si="4"/>
        <v>23700.451888734988</v>
      </c>
      <c r="H45" s="106">
        <f>SUM(E45:$E$55)*$C$11</f>
        <v>196.57397959777242</v>
      </c>
      <c r="I45" s="106">
        <v>0</v>
      </c>
      <c r="J45" s="133">
        <f t="shared" si="5"/>
        <v>23897.025868332759</v>
      </c>
    </row>
    <row r="46" spans="4:10">
      <c r="D46" s="104">
        <f t="shared" si="1"/>
        <v>39</v>
      </c>
      <c r="E46" s="106">
        <f t="shared" si="2"/>
        <v>21455.709915200459</v>
      </c>
      <c r="F46" s="106">
        <f t="shared" si="3"/>
        <v>2244.741973534527</v>
      </c>
      <c r="G46" s="133">
        <f t="shared" si="4"/>
        <v>23700.451888734988</v>
      </c>
      <c r="H46" s="106">
        <f>SUM(E46:$E$55)*$C$11</f>
        <v>179.57935788276214</v>
      </c>
      <c r="I46" s="106">
        <v>0</v>
      </c>
      <c r="J46" s="133">
        <f t="shared" si="5"/>
        <v>23880.031246617749</v>
      </c>
    </row>
    <row r="47" spans="4:10">
      <c r="D47" s="104">
        <f t="shared" si="1"/>
        <v>40</v>
      </c>
      <c r="E47" s="106">
        <f t="shared" si="2"/>
        <v>21670.267014352467</v>
      </c>
      <c r="F47" s="106">
        <f t="shared" si="3"/>
        <v>2030.1848743825226</v>
      </c>
      <c r="G47" s="133">
        <f t="shared" si="4"/>
        <v>23700.451888734988</v>
      </c>
      <c r="H47" s="106">
        <f>SUM(E47:$E$55)*$C$11</f>
        <v>162.4147899506018</v>
      </c>
      <c r="I47" s="106">
        <v>0</v>
      </c>
      <c r="J47" s="133">
        <f t="shared" si="5"/>
        <v>23862.86667868559</v>
      </c>
    </row>
    <row r="48" spans="4:10">
      <c r="D48" s="104">
        <f t="shared" si="1"/>
        <v>41</v>
      </c>
      <c r="E48" s="106">
        <f t="shared" si="2"/>
        <v>21886.969684495987</v>
      </c>
      <c r="F48" s="106">
        <f t="shared" si="3"/>
        <v>1813.4822042389976</v>
      </c>
      <c r="G48" s="133">
        <f t="shared" si="4"/>
        <v>23700.451888734984</v>
      </c>
      <c r="H48" s="106">
        <f>SUM(E48:$E$55)*$C$11</f>
        <v>145.07857633911979</v>
      </c>
      <c r="I48" s="106">
        <v>0</v>
      </c>
      <c r="J48" s="133">
        <f t="shared" si="5"/>
        <v>23845.530465074105</v>
      </c>
    </row>
    <row r="49" spans="1:11">
      <c r="D49" s="104">
        <f t="shared" si="1"/>
        <v>42</v>
      </c>
      <c r="E49" s="106">
        <f t="shared" si="2"/>
        <v>22105.839381340946</v>
      </c>
      <c r="F49" s="106">
        <f t="shared" si="3"/>
        <v>1594.6125073940377</v>
      </c>
      <c r="G49" s="133">
        <f t="shared" si="4"/>
        <v>23700.451888734984</v>
      </c>
      <c r="H49" s="106">
        <f>SUM(E49:$E$55)*$C$11</f>
        <v>127.56900059152302</v>
      </c>
      <c r="I49" s="106">
        <v>0</v>
      </c>
      <c r="J49" s="133">
        <f t="shared" si="5"/>
        <v>23828.020889326508</v>
      </c>
    </row>
    <row r="50" spans="1:11">
      <c r="D50" s="104">
        <f t="shared" si="1"/>
        <v>43</v>
      </c>
      <c r="E50" s="106">
        <f t="shared" si="2"/>
        <v>22326.897775154357</v>
      </c>
      <c r="F50" s="106">
        <f t="shared" si="3"/>
        <v>1373.5541135806282</v>
      </c>
      <c r="G50" s="133">
        <f t="shared" si="4"/>
        <v>23700.451888734984</v>
      </c>
      <c r="H50" s="106">
        <f>SUM(E50:$E$55)*$C$11</f>
        <v>109.88432908645024</v>
      </c>
      <c r="I50" s="106">
        <v>0</v>
      </c>
      <c r="J50" s="133">
        <f t="shared" si="5"/>
        <v>23810.336217821434</v>
      </c>
    </row>
    <row r="51" spans="1:11">
      <c r="D51" s="104">
        <f t="shared" si="1"/>
        <v>44</v>
      </c>
      <c r="E51" s="106">
        <f t="shared" si="2"/>
        <v>22550.166752905901</v>
      </c>
      <c r="F51" s="106">
        <f t="shared" si="3"/>
        <v>1150.2851358290845</v>
      </c>
      <c r="G51" s="133">
        <f t="shared" si="4"/>
        <v>23700.451888734984</v>
      </c>
      <c r="H51" s="106">
        <f>SUM(E51:$E$55)*$C$11</f>
        <v>92.022810866326765</v>
      </c>
      <c r="I51" s="106">
        <v>0</v>
      </c>
      <c r="J51" s="133">
        <f t="shared" si="5"/>
        <v>23792.474699601309</v>
      </c>
    </row>
    <row r="52" spans="1:11">
      <c r="D52" s="104">
        <f t="shared" si="1"/>
        <v>45</v>
      </c>
      <c r="E52" s="106">
        <f t="shared" si="2"/>
        <v>22775.668420434962</v>
      </c>
      <c r="F52" s="106">
        <f t="shared" si="3"/>
        <v>924.78346830002545</v>
      </c>
      <c r="G52" s="133">
        <f t="shared" si="4"/>
        <v>23700.451888734988</v>
      </c>
      <c r="H52" s="106">
        <f>SUM(E52:$E$55)*$C$11</f>
        <v>73.982677464002037</v>
      </c>
      <c r="I52" s="106">
        <v>0</v>
      </c>
      <c r="J52" s="133">
        <f t="shared" si="5"/>
        <v>23774.43456619899</v>
      </c>
    </row>
    <row r="53" spans="1:11">
      <c r="D53" s="104">
        <f t="shared" si="1"/>
        <v>46</v>
      </c>
      <c r="E53" s="106">
        <f t="shared" si="2"/>
        <v>23003.425104639311</v>
      </c>
      <c r="F53" s="106">
        <f t="shared" si="3"/>
        <v>697.02678409567579</v>
      </c>
      <c r="G53" s="133">
        <f t="shared" si="4"/>
        <v>23700.451888734988</v>
      </c>
      <c r="H53" s="106">
        <f>SUM(E53:$E$55)*$C$11</f>
        <v>55.762142727654066</v>
      </c>
      <c r="I53" s="106">
        <v>0</v>
      </c>
      <c r="J53" s="133">
        <f t="shared" si="5"/>
        <v>23756.214031462641</v>
      </c>
    </row>
    <row r="54" spans="1:11">
      <c r="D54" s="104">
        <f t="shared" si="1"/>
        <v>47</v>
      </c>
      <c r="E54" s="106">
        <f t="shared" si="2"/>
        <v>23233.459355685703</v>
      </c>
      <c r="F54" s="106">
        <f t="shared" si="3"/>
        <v>466.99253304928283</v>
      </c>
      <c r="G54" s="133">
        <f t="shared" si="4"/>
        <v>23700.451888734988</v>
      </c>
      <c r="H54" s="106">
        <f>SUM(E54:$E$55)*$C$11</f>
        <v>37.359402643942616</v>
      </c>
      <c r="I54" s="106">
        <v>0</v>
      </c>
      <c r="J54" s="133">
        <f t="shared" si="5"/>
        <v>23737.81129137893</v>
      </c>
    </row>
    <row r="55" spans="1:11">
      <c r="D55" s="104">
        <f t="shared" si="1"/>
        <v>48</v>
      </c>
      <c r="E55" s="106">
        <f t="shared" si="2"/>
        <v>23465.793949242561</v>
      </c>
      <c r="F55" s="106">
        <f t="shared" si="3"/>
        <v>234.65793949242564</v>
      </c>
      <c r="G55" s="133">
        <f t="shared" si="4"/>
        <v>23700.451888734988</v>
      </c>
      <c r="H55" s="106">
        <f>SUM(E55:$E$55)*$C$11</f>
        <v>18.772635159394049</v>
      </c>
      <c r="I55" s="106">
        <v>0</v>
      </c>
      <c r="J55" s="133">
        <f t="shared" si="5"/>
        <v>23719.224523894383</v>
      </c>
    </row>
    <row r="57" spans="1:11">
      <c r="A57" s="110" t="s">
        <v>69</v>
      </c>
      <c r="B57" s="111" t="s">
        <v>70</v>
      </c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>
      <c r="B58" s="115" t="s">
        <v>75</v>
      </c>
      <c r="C58" s="215">
        <f>IRR(C59:C107)</f>
        <v>1.567941021175856E-2</v>
      </c>
      <c r="E58" s="108" t="s">
        <v>152</v>
      </c>
    </row>
    <row r="59" spans="1:11">
      <c r="B59" s="138">
        <v>0</v>
      </c>
      <c r="C59" s="106">
        <f>+C15</f>
        <v>810000</v>
      </c>
      <c r="E59" s="108" t="s">
        <v>71</v>
      </c>
      <c r="F59" s="108" t="s">
        <v>72</v>
      </c>
    </row>
    <row r="60" spans="1:11">
      <c r="B60" s="138">
        <f>+B59+1</f>
        <v>1</v>
      </c>
      <c r="C60" s="106">
        <f>-J8</f>
        <v>-24420.451888734991</v>
      </c>
      <c r="E60" s="104" t="s">
        <v>71</v>
      </c>
      <c r="F60" s="104" t="s">
        <v>73</v>
      </c>
    </row>
    <row r="61" spans="1:11">
      <c r="B61" s="138">
        <f>+B60+1</f>
        <v>2</v>
      </c>
      <c r="C61" s="106">
        <f>-J9</f>
        <v>-24408.691527224004</v>
      </c>
      <c r="E61" s="104" t="s">
        <v>71</v>
      </c>
      <c r="F61" s="104" t="s">
        <v>73</v>
      </c>
    </row>
    <row r="62" spans="1:11">
      <c r="B62" s="138">
        <f t="shared" ref="B62:B125" si="6">+B61+1</f>
        <v>3</v>
      </c>
      <c r="C62" s="106">
        <f>-J10</f>
        <v>-24396.813562097897</v>
      </c>
      <c r="E62" s="104" t="s">
        <v>71</v>
      </c>
      <c r="F62" s="104" t="s">
        <v>73</v>
      </c>
    </row>
    <row r="63" spans="1:11">
      <c r="B63" s="138">
        <f t="shared" si="6"/>
        <v>4</v>
      </c>
      <c r="C63" s="106">
        <f>-J11</f>
        <v>-24384.816817320538</v>
      </c>
      <c r="E63" s="104" t="s">
        <v>71</v>
      </c>
      <c r="F63" s="104" t="s">
        <v>73</v>
      </c>
    </row>
    <row r="64" spans="1:11">
      <c r="B64" s="138">
        <f t="shared" si="6"/>
        <v>5</v>
      </c>
      <c r="C64" s="106">
        <f>-J12</f>
        <v>-24372.70010509541</v>
      </c>
      <c r="E64" s="104" t="s">
        <v>71</v>
      </c>
      <c r="F64" s="104" t="s">
        <v>73</v>
      </c>
    </row>
    <row r="65" spans="2:6">
      <c r="B65" s="138">
        <f t="shared" si="6"/>
        <v>6</v>
      </c>
      <c r="C65" s="106">
        <f>-J13</f>
        <v>-24360.462225748022</v>
      </c>
      <c r="E65" s="104" t="s">
        <v>71</v>
      </c>
      <c r="F65" s="104" t="s">
        <v>73</v>
      </c>
    </row>
    <row r="66" spans="2:6">
      <c r="B66" s="138">
        <f t="shared" si="6"/>
        <v>7</v>
      </c>
      <c r="C66" s="106">
        <f>-J14</f>
        <v>-24348.10196760717</v>
      </c>
      <c r="E66" s="104" t="s">
        <v>71</v>
      </c>
      <c r="F66" s="104" t="s">
        <v>73</v>
      </c>
    </row>
    <row r="67" spans="2:6">
      <c r="B67" s="138">
        <f t="shared" si="6"/>
        <v>8</v>
      </c>
      <c r="C67" s="106">
        <f t="shared" ref="C67:C107" si="7">-J15</f>
        <v>-24335.618106884907</v>
      </c>
      <c r="E67" s="104" t="s">
        <v>71</v>
      </c>
      <c r="F67" s="104" t="s">
        <v>73</v>
      </c>
    </row>
    <row r="68" spans="2:6">
      <c r="B68" s="138">
        <f t="shared" si="6"/>
        <v>9</v>
      </c>
      <c r="C68" s="106">
        <f t="shared" si="7"/>
        <v>-24323.009407555412</v>
      </c>
      <c r="E68" s="104" t="s">
        <v>71</v>
      </c>
      <c r="F68" s="104" t="s">
        <v>73</v>
      </c>
    </row>
    <row r="69" spans="2:6">
      <c r="B69" s="138">
        <f t="shared" si="6"/>
        <v>10</v>
      </c>
      <c r="C69" s="106">
        <f t="shared" si="7"/>
        <v>-24310.274621232631</v>
      </c>
      <c r="E69" s="104" t="s">
        <v>71</v>
      </c>
      <c r="F69" s="104" t="s">
        <v>73</v>
      </c>
    </row>
    <row r="70" spans="2:6">
      <c r="B70" s="138">
        <f t="shared" si="6"/>
        <v>11</v>
      </c>
      <c r="C70" s="106">
        <f t="shared" si="7"/>
        <v>-24297.412487046618</v>
      </c>
      <c r="E70" s="104" t="s">
        <v>71</v>
      </c>
      <c r="F70" s="104" t="s">
        <v>73</v>
      </c>
    </row>
    <row r="71" spans="2:6">
      <c r="B71" s="138">
        <f t="shared" si="6"/>
        <v>12</v>
      </c>
      <c r="C71" s="106">
        <f t="shared" si="7"/>
        <v>-24284.421731518749</v>
      </c>
      <c r="E71" s="104" t="s">
        <v>71</v>
      </c>
      <c r="F71" s="104" t="s">
        <v>73</v>
      </c>
    </row>
    <row r="72" spans="2:6">
      <c r="B72" s="138">
        <f t="shared" si="6"/>
        <v>13</v>
      </c>
      <c r="C72" s="106">
        <f t="shared" si="7"/>
        <v>-24271.301068435598</v>
      </c>
      <c r="E72" s="104" t="s">
        <v>71</v>
      </c>
      <c r="F72" s="104" t="s">
        <v>73</v>
      </c>
    </row>
    <row r="73" spans="2:6">
      <c r="B73" s="138">
        <f t="shared" si="6"/>
        <v>14</v>
      </c>
      <c r="C73" s="106">
        <f t="shared" si="7"/>
        <v>-24258.049198721616</v>
      </c>
      <c r="E73" s="104" t="s">
        <v>71</v>
      </c>
      <c r="F73" s="104" t="s">
        <v>73</v>
      </c>
    </row>
    <row r="74" spans="2:6">
      <c r="B74" s="138">
        <f t="shared" si="6"/>
        <v>15</v>
      </c>
      <c r="C74" s="106">
        <f t="shared" si="7"/>
        <v>-24244.664810310493</v>
      </c>
      <c r="E74" s="104" t="s">
        <v>71</v>
      </c>
      <c r="F74" s="104" t="s">
        <v>73</v>
      </c>
    </row>
    <row r="75" spans="2:6">
      <c r="B75" s="138">
        <f t="shared" si="6"/>
        <v>16</v>
      </c>
      <c r="C75" s="106">
        <f t="shared" si="7"/>
        <v>-24231.146578015261</v>
      </c>
      <c r="E75" s="104" t="s">
        <v>71</v>
      </c>
      <c r="F75" s="104" t="s">
        <v>73</v>
      </c>
    </row>
    <row r="76" spans="2:6">
      <c r="B76" s="138">
        <f t="shared" si="6"/>
        <v>17</v>
      </c>
      <c r="C76" s="106">
        <f t="shared" si="7"/>
        <v>-24217.49316339707</v>
      </c>
      <c r="E76" s="104" t="s">
        <v>71</v>
      </c>
      <c r="F76" s="104" t="s">
        <v>73</v>
      </c>
    </row>
    <row r="77" spans="2:6">
      <c r="B77" s="138">
        <f t="shared" si="6"/>
        <v>18</v>
      </c>
      <c r="C77" s="106">
        <f t="shared" si="7"/>
        <v>-24203.703214632704</v>
      </c>
      <c r="E77" s="104" t="s">
        <v>71</v>
      </c>
      <c r="F77" s="104" t="s">
        <v>73</v>
      </c>
    </row>
    <row r="78" spans="2:6">
      <c r="B78" s="138">
        <f t="shared" si="6"/>
        <v>19</v>
      </c>
      <c r="C78" s="106">
        <f t="shared" si="7"/>
        <v>-24189.775366380702</v>
      </c>
      <c r="E78" s="104" t="s">
        <v>71</v>
      </c>
      <c r="F78" s="104" t="s">
        <v>73</v>
      </c>
    </row>
    <row r="79" spans="2:6">
      <c r="B79" s="138">
        <f t="shared" si="6"/>
        <v>20</v>
      </c>
      <c r="C79" s="106">
        <f t="shared" si="7"/>
        <v>-24175.708239646166</v>
      </c>
      <c r="E79" s="104" t="s">
        <v>71</v>
      </c>
      <c r="F79" s="104" t="s">
        <v>73</v>
      </c>
    </row>
    <row r="80" spans="2:6">
      <c r="B80" s="138">
        <f t="shared" si="6"/>
        <v>21</v>
      </c>
      <c r="C80" s="106">
        <f t="shared" si="7"/>
        <v>-24161.50044164429</v>
      </c>
      <c r="E80" s="104" t="s">
        <v>71</v>
      </c>
      <c r="F80" s="104" t="s">
        <v>73</v>
      </c>
    </row>
    <row r="81" spans="2:6">
      <c r="B81" s="138">
        <f t="shared" si="6"/>
        <v>22</v>
      </c>
      <c r="C81" s="106">
        <f t="shared" si="7"/>
        <v>-24147.150565662396</v>
      </c>
      <c r="E81" s="104" t="s">
        <v>71</v>
      </c>
      <c r="F81" s="104" t="s">
        <v>73</v>
      </c>
    </row>
    <row r="82" spans="2:6">
      <c r="B82" s="138">
        <f t="shared" si="6"/>
        <v>23</v>
      </c>
      <c r="C82" s="106">
        <f t="shared" si="7"/>
        <v>-24132.65719092068</v>
      </c>
      <c r="E82" s="104" t="s">
        <v>71</v>
      </c>
      <c r="F82" s="104" t="s">
        <v>73</v>
      </c>
    </row>
    <row r="83" spans="2:6">
      <c r="B83" s="138">
        <f t="shared" si="6"/>
        <v>24</v>
      </c>
      <c r="C83" s="106">
        <f t="shared" si="7"/>
        <v>-24118.018882431552</v>
      </c>
      <c r="E83" s="104" t="s">
        <v>71</v>
      </c>
      <c r="F83" s="104" t="s">
        <v>73</v>
      </c>
    </row>
    <row r="84" spans="2:6">
      <c r="B84" s="138">
        <f t="shared" si="6"/>
        <v>25</v>
      </c>
      <c r="C84" s="106">
        <f t="shared" si="7"/>
        <v>-24103.234190857529</v>
      </c>
      <c r="E84" s="104" t="s">
        <v>71</v>
      </c>
      <c r="F84" s="104" t="s">
        <v>73</v>
      </c>
    </row>
    <row r="85" spans="2:6">
      <c r="B85" s="138">
        <f t="shared" si="6"/>
        <v>26</v>
      </c>
      <c r="C85" s="106">
        <f t="shared" si="7"/>
        <v>-24088.301652367765</v>
      </c>
      <c r="E85" s="104" t="s">
        <v>71</v>
      </c>
      <c r="F85" s="104" t="s">
        <v>73</v>
      </c>
    </row>
    <row r="86" spans="2:6">
      <c r="B86" s="138">
        <f t="shared" si="6"/>
        <v>27</v>
      </c>
      <c r="C86" s="106">
        <f t="shared" si="7"/>
        <v>-24073.219788493108</v>
      </c>
      <c r="E86" s="104" t="s">
        <v>71</v>
      </c>
      <c r="F86" s="104" t="s">
        <v>73</v>
      </c>
    </row>
    <row r="87" spans="2:6">
      <c r="B87" s="138">
        <f t="shared" si="6"/>
        <v>28</v>
      </c>
      <c r="C87" s="106">
        <f t="shared" si="7"/>
        <v>-24057.987105979693</v>
      </c>
      <c r="E87" s="104" t="s">
        <v>71</v>
      </c>
      <c r="F87" s="104" t="s">
        <v>73</v>
      </c>
    </row>
    <row r="88" spans="2:6">
      <c r="B88" s="138">
        <f t="shared" si="6"/>
        <v>29</v>
      </c>
      <c r="C88" s="106">
        <f t="shared" si="7"/>
        <v>-24042.602096641152</v>
      </c>
      <c r="E88" s="104" t="s">
        <v>71</v>
      </c>
      <c r="F88" s="104" t="s">
        <v>73</v>
      </c>
    </row>
    <row r="89" spans="2:6">
      <c r="B89" s="138">
        <f t="shared" si="6"/>
        <v>30</v>
      </c>
      <c r="C89" s="106">
        <f t="shared" si="7"/>
        <v>-24027.06323720923</v>
      </c>
      <c r="E89" s="104" t="s">
        <v>71</v>
      </c>
      <c r="F89" s="104" t="s">
        <v>73</v>
      </c>
    </row>
    <row r="90" spans="2:6">
      <c r="B90" s="138">
        <f t="shared" si="6"/>
        <v>31</v>
      </c>
      <c r="C90" s="106">
        <f t="shared" si="7"/>
        <v>-24011.368989182985</v>
      </c>
      <c r="E90" s="104" t="s">
        <v>71</v>
      </c>
      <c r="F90" s="104" t="s">
        <v>73</v>
      </c>
    </row>
    <row r="91" spans="2:6">
      <c r="B91" s="138">
        <f t="shared" si="6"/>
        <v>32</v>
      </c>
      <c r="C91" s="106">
        <f t="shared" si="7"/>
        <v>-23995.517798676476</v>
      </c>
      <c r="E91" s="104" t="s">
        <v>71</v>
      </c>
      <c r="F91" s="104" t="s">
        <v>73</v>
      </c>
    </row>
    <row r="92" spans="2:6">
      <c r="B92" s="138">
        <f t="shared" si="6"/>
        <v>33</v>
      </c>
      <c r="C92" s="106">
        <f t="shared" si="7"/>
        <v>-23979.508096264908</v>
      </c>
      <c r="E92" s="104" t="s">
        <v>71</v>
      </c>
      <c r="F92" s="104" t="s">
        <v>73</v>
      </c>
    </row>
    <row r="93" spans="2:6">
      <c r="B93" s="138">
        <f t="shared" si="6"/>
        <v>34</v>
      </c>
      <c r="C93" s="106">
        <f t="shared" si="7"/>
        <v>-23963.33829682921</v>
      </c>
      <c r="E93" s="104" t="s">
        <v>71</v>
      </c>
      <c r="F93" s="104" t="s">
        <v>73</v>
      </c>
    </row>
    <row r="94" spans="2:6">
      <c r="B94" s="138">
        <f t="shared" si="6"/>
        <v>35</v>
      </c>
      <c r="C94" s="106">
        <f t="shared" si="7"/>
        <v>-23947.006799399169</v>
      </c>
      <c r="E94" s="104" t="s">
        <v>71</v>
      </c>
      <c r="F94" s="104" t="s">
        <v>73</v>
      </c>
    </row>
    <row r="95" spans="2:6">
      <c r="B95" s="138">
        <f t="shared" si="6"/>
        <v>36</v>
      </c>
      <c r="C95" s="106">
        <f t="shared" si="7"/>
        <v>-23930.511986994825</v>
      </c>
      <c r="E95" s="104" t="s">
        <v>71</v>
      </c>
      <c r="F95" s="104" t="s">
        <v>73</v>
      </c>
    </row>
    <row r="96" spans="2:6">
      <c r="B96" s="138">
        <f t="shared" si="6"/>
        <v>37</v>
      </c>
      <c r="C96" s="106">
        <f t="shared" si="7"/>
        <v>-23913.852226466435</v>
      </c>
      <c r="E96" s="104" t="s">
        <v>71</v>
      </c>
      <c r="F96" s="104" t="s">
        <v>73</v>
      </c>
    </row>
    <row r="97" spans="1:11">
      <c r="B97" s="138">
        <f t="shared" si="6"/>
        <v>38</v>
      </c>
      <c r="C97" s="106">
        <f t="shared" si="7"/>
        <v>-23897.025868332759</v>
      </c>
      <c r="E97" s="104" t="s">
        <v>71</v>
      </c>
      <c r="F97" s="104" t="s">
        <v>73</v>
      </c>
    </row>
    <row r="98" spans="1:11">
      <c r="B98" s="138">
        <f t="shared" si="6"/>
        <v>39</v>
      </c>
      <c r="C98" s="106">
        <f t="shared" si="7"/>
        <v>-23880.031246617749</v>
      </c>
      <c r="E98" s="104" t="s">
        <v>71</v>
      </c>
      <c r="F98" s="104" t="s">
        <v>73</v>
      </c>
    </row>
    <row r="99" spans="1:11">
      <c r="B99" s="138">
        <f t="shared" si="6"/>
        <v>40</v>
      </c>
      <c r="C99" s="106">
        <f t="shared" si="7"/>
        <v>-23862.86667868559</v>
      </c>
      <c r="E99" s="104" t="s">
        <v>71</v>
      </c>
      <c r="F99" s="104" t="s">
        <v>73</v>
      </c>
    </row>
    <row r="100" spans="1:11">
      <c r="B100" s="138">
        <f t="shared" si="6"/>
        <v>41</v>
      </c>
      <c r="C100" s="106">
        <f t="shared" si="7"/>
        <v>-23845.530465074105</v>
      </c>
      <c r="E100" s="104" t="s">
        <v>71</v>
      </c>
      <c r="F100" s="104" t="s">
        <v>73</v>
      </c>
    </row>
    <row r="101" spans="1:11">
      <c r="B101" s="138">
        <f t="shared" si="6"/>
        <v>42</v>
      </c>
      <c r="C101" s="106">
        <f t="shared" si="7"/>
        <v>-23828.020889326508</v>
      </c>
      <c r="E101" s="104" t="s">
        <v>71</v>
      </c>
      <c r="F101" s="104" t="s">
        <v>73</v>
      </c>
    </row>
    <row r="102" spans="1:11">
      <c r="B102" s="138">
        <f t="shared" si="6"/>
        <v>43</v>
      </c>
      <c r="C102" s="106">
        <f t="shared" si="7"/>
        <v>-23810.336217821434</v>
      </c>
      <c r="E102" s="104" t="s">
        <v>71</v>
      </c>
      <c r="F102" s="104" t="s">
        <v>73</v>
      </c>
    </row>
    <row r="103" spans="1:11">
      <c r="B103" s="138">
        <f t="shared" si="6"/>
        <v>44</v>
      </c>
      <c r="C103" s="106">
        <f t="shared" si="7"/>
        <v>-23792.474699601309</v>
      </c>
      <c r="E103" s="104" t="s">
        <v>71</v>
      </c>
      <c r="F103" s="104" t="s">
        <v>73</v>
      </c>
    </row>
    <row r="104" spans="1:11">
      <c r="B104" s="138">
        <f t="shared" si="6"/>
        <v>45</v>
      </c>
      <c r="C104" s="106">
        <f t="shared" si="7"/>
        <v>-23774.43456619899</v>
      </c>
      <c r="E104" s="104" t="s">
        <v>71</v>
      </c>
      <c r="F104" s="104" t="s">
        <v>73</v>
      </c>
    </row>
    <row r="105" spans="1:11">
      <c r="B105" s="138">
        <f t="shared" si="6"/>
        <v>46</v>
      </c>
      <c r="C105" s="106">
        <f t="shared" si="7"/>
        <v>-23756.214031462641</v>
      </c>
      <c r="E105" s="104" t="s">
        <v>71</v>
      </c>
      <c r="F105" s="104" t="s">
        <v>73</v>
      </c>
    </row>
    <row r="106" spans="1:11">
      <c r="B106" s="138">
        <f t="shared" si="6"/>
        <v>47</v>
      </c>
      <c r="C106" s="106">
        <f t="shared" si="7"/>
        <v>-23737.81129137893</v>
      </c>
      <c r="E106" s="104" t="s">
        <v>71</v>
      </c>
      <c r="F106" s="104" t="s">
        <v>73</v>
      </c>
    </row>
    <row r="107" spans="1:11">
      <c r="B107" s="138">
        <f t="shared" si="6"/>
        <v>48</v>
      </c>
      <c r="C107" s="106">
        <f t="shared" si="7"/>
        <v>-23719.224523894383</v>
      </c>
      <c r="E107" s="104" t="s">
        <v>71</v>
      </c>
      <c r="F107" s="104" t="s">
        <v>73</v>
      </c>
    </row>
    <row r="109" spans="1:11">
      <c r="A109" s="110" t="s">
        <v>76</v>
      </c>
      <c r="B109" s="111" t="s">
        <v>77</v>
      </c>
      <c r="C109" s="112"/>
      <c r="D109" s="112"/>
      <c r="E109" s="112"/>
      <c r="F109" s="112"/>
      <c r="G109" s="112"/>
      <c r="H109" s="112"/>
      <c r="I109" s="112"/>
      <c r="J109" s="112"/>
      <c r="K109" s="113"/>
    </row>
    <row r="110" spans="1:11">
      <c r="C110" s="116" t="s">
        <v>78</v>
      </c>
      <c r="D110" s="116" t="s">
        <v>80</v>
      </c>
      <c r="E110" s="116" t="s">
        <v>82</v>
      </c>
      <c r="F110" s="116" t="s">
        <v>78</v>
      </c>
    </row>
    <row r="111" spans="1:11">
      <c r="C111" s="116" t="s">
        <v>79</v>
      </c>
      <c r="D111" s="116" t="s">
        <v>81</v>
      </c>
      <c r="E111" s="116" t="s">
        <v>83</v>
      </c>
      <c r="F111" s="116" t="s">
        <v>84</v>
      </c>
    </row>
    <row r="112" spans="1:11">
      <c r="B112" s="104">
        <f>+B111+1</f>
        <v>1</v>
      </c>
      <c r="C112" s="139">
        <f>C59</f>
        <v>810000</v>
      </c>
      <c r="D112" s="139">
        <f>+C112*$C$58</f>
        <v>12700.322271524434</v>
      </c>
      <c r="E112" s="139">
        <f>+C60</f>
        <v>-24420.451888734991</v>
      </c>
      <c r="F112" s="139">
        <f>+C112+D112+E112</f>
        <v>798279.87038278952</v>
      </c>
    </row>
    <row r="113" spans="2:10">
      <c r="B113" s="104">
        <f>+B112+1</f>
        <v>2</v>
      </c>
      <c r="C113" s="139">
        <f>+F112</f>
        <v>798279.87038278952</v>
      </c>
      <c r="D113" s="139">
        <f>+C113*$C$58</f>
        <v>12516.557551521209</v>
      </c>
      <c r="E113" s="139">
        <f>+C61</f>
        <v>-24408.691527224004</v>
      </c>
      <c r="F113" s="139">
        <f>+C113+D113+E113</f>
        <v>786387.73640708672</v>
      </c>
    </row>
    <row r="114" spans="2:10" ht="21.75" thickBot="1">
      <c r="B114" s="104">
        <f t="shared" si="6"/>
        <v>3</v>
      </c>
      <c r="C114" s="139">
        <f t="shared" ref="C114:C159" si="8">+F113</f>
        <v>786387.73640708672</v>
      </c>
      <c r="D114" s="139">
        <f t="shared" ref="D114:D159" si="9">+C114*$C$58</f>
        <v>12330.095904622975</v>
      </c>
      <c r="E114" s="139">
        <f t="shared" ref="E114:E159" si="10">+C62</f>
        <v>-24396.813562097897</v>
      </c>
      <c r="F114" s="139">
        <f t="shared" ref="F114:F159" si="11">+C114+D114+E114</f>
        <v>774321.0187496118</v>
      </c>
    </row>
    <row r="115" spans="2:10" ht="21.75" thickBot="1">
      <c r="B115" s="104">
        <f t="shared" si="6"/>
        <v>4</v>
      </c>
      <c r="C115" s="139">
        <f t="shared" si="8"/>
        <v>774321.0187496118</v>
      </c>
      <c r="D115" s="139">
        <f t="shared" si="9"/>
        <v>12140.896888561954</v>
      </c>
      <c r="E115" s="139">
        <f t="shared" si="10"/>
        <v>-24384.816817320538</v>
      </c>
      <c r="F115" s="223">
        <f t="shared" si="11"/>
        <v>762077.09882085316</v>
      </c>
      <c r="H115" s="126" t="s">
        <v>99</v>
      </c>
      <c r="I115" s="127"/>
      <c r="J115" s="125">
        <f>+F115</f>
        <v>762077.09882085316</v>
      </c>
    </row>
    <row r="116" spans="2:10" ht="21.75" thickBot="1">
      <c r="B116" s="104">
        <f t="shared" si="6"/>
        <v>5</v>
      </c>
      <c r="C116" s="216">
        <f t="shared" si="8"/>
        <v>762077.09882085316</v>
      </c>
      <c r="D116" s="216">
        <f t="shared" si="9"/>
        <v>11948.919445399022</v>
      </c>
      <c r="E116" s="170">
        <f t="shared" si="10"/>
        <v>-24372.70010509541</v>
      </c>
      <c r="F116" s="216">
        <f t="shared" si="11"/>
        <v>749653.31816115684</v>
      </c>
      <c r="H116" s="128" t="s">
        <v>100</v>
      </c>
      <c r="I116" s="129"/>
      <c r="J116" s="130"/>
    </row>
    <row r="117" spans="2:10">
      <c r="B117" s="104">
        <f t="shared" si="6"/>
        <v>6</v>
      </c>
      <c r="C117" s="216">
        <f t="shared" si="8"/>
        <v>749653.31816115684</v>
      </c>
      <c r="D117" s="216">
        <f t="shared" si="9"/>
        <v>11754.121892054731</v>
      </c>
      <c r="E117" s="170">
        <f t="shared" si="10"/>
        <v>-24360.462225748022</v>
      </c>
      <c r="F117" s="216">
        <f t="shared" si="11"/>
        <v>737046.97782746353</v>
      </c>
    </row>
    <row r="118" spans="2:10" ht="21.75" thickBot="1">
      <c r="B118" s="104">
        <f t="shared" si="6"/>
        <v>7</v>
      </c>
      <c r="C118" s="216">
        <f t="shared" si="8"/>
        <v>737046.97782746353</v>
      </c>
      <c r="D118" s="216">
        <f t="shared" si="9"/>
        <v>11556.461910693717</v>
      </c>
      <c r="E118" s="170">
        <f t="shared" si="10"/>
        <v>-24348.10196760717</v>
      </c>
      <c r="F118" s="216">
        <f t="shared" si="11"/>
        <v>724255.33777055005</v>
      </c>
    </row>
    <row r="119" spans="2:10" ht="21.75" thickBot="1">
      <c r="B119" s="104">
        <f t="shared" si="6"/>
        <v>8</v>
      </c>
      <c r="C119" s="216">
        <f t="shared" si="8"/>
        <v>724255.33777055005</v>
      </c>
      <c r="D119" s="216">
        <f t="shared" si="9"/>
        <v>11355.896538960207</v>
      </c>
      <c r="E119" s="170">
        <f t="shared" si="10"/>
        <v>-24335.618106884907</v>
      </c>
      <c r="F119" s="216">
        <f t="shared" si="11"/>
        <v>711275.61620262533</v>
      </c>
      <c r="H119" s="126" t="s">
        <v>99</v>
      </c>
      <c r="I119" s="127"/>
      <c r="J119" s="125">
        <f>-NPV(C58,E116:E159)</f>
        <v>762077.09882085444</v>
      </c>
    </row>
    <row r="120" spans="2:10" ht="21.75" thickBot="1">
      <c r="B120" s="104">
        <f t="shared" si="6"/>
        <v>9</v>
      </c>
      <c r="C120" s="216">
        <f t="shared" si="8"/>
        <v>711275.61620262533</v>
      </c>
      <c r="D120" s="216">
        <f t="shared" si="9"/>
        <v>11152.382160062305</v>
      </c>
      <c r="E120" s="170">
        <f t="shared" si="10"/>
        <v>-24323.009407555412</v>
      </c>
      <c r="F120" s="216">
        <f t="shared" si="11"/>
        <v>698104.9889551322</v>
      </c>
      <c r="H120" s="128" t="s">
        <v>102</v>
      </c>
      <c r="I120" s="129"/>
      <c r="J120" s="130"/>
    </row>
    <row r="121" spans="2:10">
      <c r="B121" s="104">
        <f t="shared" si="6"/>
        <v>10</v>
      </c>
      <c r="C121" s="216">
        <f t="shared" si="8"/>
        <v>698104.9889551322</v>
      </c>
      <c r="D121" s="216">
        <f t="shared" si="9"/>
        <v>10945.874492702696</v>
      </c>
      <c r="E121" s="170">
        <f t="shared" si="10"/>
        <v>-24310.274621232631</v>
      </c>
      <c r="F121" s="216">
        <f t="shared" si="11"/>
        <v>684740.58882660221</v>
      </c>
    </row>
    <row r="122" spans="2:10">
      <c r="B122" s="104">
        <f t="shared" si="6"/>
        <v>11</v>
      </c>
      <c r="C122" s="216">
        <f t="shared" si="8"/>
        <v>684740.58882660221</v>
      </c>
      <c r="D122" s="216">
        <f t="shared" si="9"/>
        <v>10736.328580853396</v>
      </c>
      <c r="E122" s="170">
        <f t="shared" si="10"/>
        <v>-24297.412487046618</v>
      </c>
      <c r="F122" s="216">
        <f t="shared" si="11"/>
        <v>671179.50492040906</v>
      </c>
    </row>
    <row r="123" spans="2:10">
      <c r="B123" s="104">
        <f t="shared" si="6"/>
        <v>12</v>
      </c>
      <c r="C123" s="216">
        <f t="shared" si="8"/>
        <v>671179.50492040906</v>
      </c>
      <c r="D123" s="216">
        <f t="shared" si="9"/>
        <v>10523.698783372116</v>
      </c>
      <c r="E123" s="170">
        <f t="shared" si="10"/>
        <v>-24284.421731518749</v>
      </c>
      <c r="F123" s="216">
        <f t="shared" si="11"/>
        <v>657418.78197226243</v>
      </c>
    </row>
    <row r="124" spans="2:10">
      <c r="B124" s="104">
        <f t="shared" si="6"/>
        <v>13</v>
      </c>
      <c r="C124" s="216">
        <f t="shared" si="8"/>
        <v>657418.78197226243</v>
      </c>
      <c r="D124" s="216">
        <f t="shared" si="9"/>
        <v>10307.938763457765</v>
      </c>
      <c r="E124" s="170">
        <f t="shared" si="10"/>
        <v>-24271.301068435598</v>
      </c>
      <c r="F124" s="216">
        <f t="shared" si="11"/>
        <v>643455.4196672847</v>
      </c>
    </row>
    <row r="125" spans="2:10">
      <c r="B125" s="104">
        <f t="shared" si="6"/>
        <v>14</v>
      </c>
      <c r="C125" s="216">
        <f t="shared" si="8"/>
        <v>643455.4196672847</v>
      </c>
      <c r="D125" s="216">
        <f t="shared" si="9"/>
        <v>10089.001477942613</v>
      </c>
      <c r="E125" s="170">
        <f t="shared" si="10"/>
        <v>-24258.049198721616</v>
      </c>
      <c r="F125" s="216">
        <f t="shared" si="11"/>
        <v>629286.37194650562</v>
      </c>
    </row>
    <row r="126" spans="2:10">
      <c r="B126" s="104">
        <f t="shared" ref="B126:B159" si="12">+B125+1</f>
        <v>15</v>
      </c>
      <c r="C126" s="216">
        <f t="shared" si="8"/>
        <v>629286.37194650562</v>
      </c>
      <c r="D126" s="216">
        <f t="shared" si="9"/>
        <v>9866.8391664185347</v>
      </c>
      <c r="E126" s="170">
        <f t="shared" si="10"/>
        <v>-24244.664810310493</v>
      </c>
      <c r="F126" s="216">
        <f t="shared" si="11"/>
        <v>614908.54630261369</v>
      </c>
    </row>
    <row r="127" spans="2:10">
      <c r="B127" s="104">
        <f t="shared" si="12"/>
        <v>16</v>
      </c>
      <c r="C127" s="216">
        <f t="shared" si="8"/>
        <v>614908.54630261369</v>
      </c>
      <c r="D127" s="216">
        <f t="shared" si="9"/>
        <v>9641.4033401948127</v>
      </c>
      <c r="E127" s="170">
        <f t="shared" si="10"/>
        <v>-24231.146578015261</v>
      </c>
      <c r="F127" s="216">
        <f t="shared" si="11"/>
        <v>600318.80306479323</v>
      </c>
    </row>
    <row r="128" spans="2:10">
      <c r="B128" s="104">
        <f t="shared" si="12"/>
        <v>17</v>
      </c>
      <c r="C128" s="216">
        <f t="shared" si="8"/>
        <v>600318.80306479323</v>
      </c>
      <c r="D128" s="216">
        <f t="shared" si="9"/>
        <v>9412.6447710847951</v>
      </c>
      <c r="E128" s="170">
        <f t="shared" si="10"/>
        <v>-24217.49316339707</v>
      </c>
      <c r="F128" s="216">
        <f t="shared" si="11"/>
        <v>585513.95467248093</v>
      </c>
    </row>
    <row r="129" spans="2:6">
      <c r="B129" s="104">
        <f t="shared" si="12"/>
        <v>18</v>
      </c>
      <c r="C129" s="216">
        <f t="shared" si="8"/>
        <v>585513.95467248093</v>
      </c>
      <c r="D129" s="216">
        <f t="shared" si="9"/>
        <v>9180.5134800188353</v>
      </c>
      <c r="E129" s="170">
        <f t="shared" si="10"/>
        <v>-24203.703214632704</v>
      </c>
      <c r="F129" s="216">
        <f t="shared" si="11"/>
        <v>570490.76493786706</v>
      </c>
    </row>
    <row r="130" spans="2:6">
      <c r="B130" s="104">
        <f t="shared" si="12"/>
        <v>19</v>
      </c>
      <c r="C130" s="216">
        <f t="shared" si="8"/>
        <v>570490.76493786706</v>
      </c>
      <c r="D130" s="216">
        <f t="shared" si="9"/>
        <v>8944.9587254807448</v>
      </c>
      <c r="E130" s="170">
        <f t="shared" si="10"/>
        <v>-24189.775366380702</v>
      </c>
      <c r="F130" s="216">
        <f t="shared" si="11"/>
        <v>555245.94829696708</v>
      </c>
    </row>
    <row r="131" spans="2:6">
      <c r="B131" s="104">
        <f t="shared" si="12"/>
        <v>20</v>
      </c>
      <c r="C131" s="216">
        <f t="shared" si="8"/>
        <v>555245.94829696708</v>
      </c>
      <c r="D131" s="216">
        <f t="shared" si="9"/>
        <v>8705.9289917650312</v>
      </c>
      <c r="E131" s="170">
        <f t="shared" si="10"/>
        <v>-24175.708239646166</v>
      </c>
      <c r="F131" s="216">
        <f t="shared" si="11"/>
        <v>539776.16904908593</v>
      </c>
    </row>
    <row r="132" spans="2:6">
      <c r="B132" s="104">
        <f t="shared" si="12"/>
        <v>21</v>
      </c>
      <c r="C132" s="216">
        <f t="shared" si="8"/>
        <v>539776.16904908593</v>
      </c>
      <c r="D132" s="216">
        <f t="shared" si="9"/>
        <v>8463.3719770521529</v>
      </c>
      <c r="E132" s="170">
        <f t="shared" si="10"/>
        <v>-24161.50044164429</v>
      </c>
      <c r="F132" s="216">
        <f t="shared" si="11"/>
        <v>524078.04058449384</v>
      </c>
    </row>
    <row r="133" spans="2:6">
      <c r="B133" s="104">
        <f t="shared" si="12"/>
        <v>22</v>
      </c>
      <c r="C133" s="216">
        <f t="shared" si="8"/>
        <v>524078.04058449384</v>
      </c>
      <c r="D133" s="216">
        <f t="shared" si="9"/>
        <v>8217.2345812989297</v>
      </c>
      <c r="E133" s="170">
        <f t="shared" si="10"/>
        <v>-24147.150565662396</v>
      </c>
      <c r="F133" s="216">
        <f t="shared" si="11"/>
        <v>508148.12460013037</v>
      </c>
    </row>
    <row r="134" spans="2:6">
      <c r="B134" s="104">
        <f t="shared" si="12"/>
        <v>23</v>
      </c>
      <c r="C134" s="216">
        <f t="shared" si="8"/>
        <v>508148.12460013037</v>
      </c>
      <c r="D134" s="216">
        <f t="shared" si="9"/>
        <v>7967.4628939412451</v>
      </c>
      <c r="E134" s="170">
        <f t="shared" si="10"/>
        <v>-24132.65719092068</v>
      </c>
      <c r="F134" s="216">
        <f t="shared" si="11"/>
        <v>491982.93030315096</v>
      </c>
    </row>
    <row r="135" spans="2:6">
      <c r="B135" s="104">
        <f t="shared" si="12"/>
        <v>24</v>
      </c>
      <c r="C135" s="216">
        <f t="shared" si="8"/>
        <v>491982.93030315096</v>
      </c>
      <c r="D135" s="216">
        <f t="shared" si="9"/>
        <v>7714.0021814061247</v>
      </c>
      <c r="E135" s="170">
        <f t="shared" si="10"/>
        <v>-24118.018882431552</v>
      </c>
      <c r="F135" s="216">
        <f t="shared" si="11"/>
        <v>475578.91360212554</v>
      </c>
    </row>
    <row r="136" spans="2:6">
      <c r="B136" s="104">
        <f t="shared" si="12"/>
        <v>25</v>
      </c>
      <c r="C136" s="216">
        <f t="shared" si="8"/>
        <v>475578.91360212554</v>
      </c>
      <c r="D136" s="216">
        <f t="shared" si="9"/>
        <v>7456.7968744302088</v>
      </c>
      <c r="E136" s="170">
        <f t="shared" si="10"/>
        <v>-24103.234190857529</v>
      </c>
      <c r="F136" s="216">
        <f t="shared" si="11"/>
        <v>458932.47628569824</v>
      </c>
    </row>
    <row r="137" spans="2:6">
      <c r="B137" s="104">
        <f t="shared" si="12"/>
        <v>26</v>
      </c>
      <c r="C137" s="216">
        <f t="shared" si="8"/>
        <v>458932.47628569824</v>
      </c>
      <c r="D137" s="216">
        <f t="shared" si="9"/>
        <v>7195.7905551816202</v>
      </c>
      <c r="E137" s="170">
        <f t="shared" si="10"/>
        <v>-24088.301652367765</v>
      </c>
      <c r="F137" s="216">
        <f t="shared" si="11"/>
        <v>442039.96518851211</v>
      </c>
    </row>
    <row r="138" spans="2:6">
      <c r="B138" s="104">
        <f t="shared" si="12"/>
        <v>27</v>
      </c>
      <c r="C138" s="216">
        <f t="shared" si="8"/>
        <v>442039.96518851211</v>
      </c>
      <c r="D138" s="216">
        <f t="shared" si="9"/>
        <v>6930.925944182155</v>
      </c>
      <c r="E138" s="170">
        <f t="shared" si="10"/>
        <v>-24073.219788493108</v>
      </c>
      <c r="F138" s="216">
        <f t="shared" si="11"/>
        <v>424897.67134420114</v>
      </c>
    </row>
    <row r="139" spans="2:6">
      <c r="B139" s="104">
        <f t="shared" si="12"/>
        <v>28</v>
      </c>
      <c r="C139" s="216">
        <f t="shared" si="8"/>
        <v>424897.67134420114</v>
      </c>
      <c r="D139" s="216">
        <f t="shared" si="9"/>
        <v>6662.1448870266995</v>
      </c>
      <c r="E139" s="170">
        <f t="shared" si="10"/>
        <v>-24057.987105979693</v>
      </c>
      <c r="F139" s="216">
        <f t="shared" si="11"/>
        <v>407501.82912524813</v>
      </c>
    </row>
    <row r="140" spans="2:6">
      <c r="B140" s="104">
        <f t="shared" si="12"/>
        <v>29</v>
      </c>
      <c r="C140" s="216">
        <f t="shared" si="8"/>
        <v>407501.82912524813</v>
      </c>
      <c r="D140" s="216">
        <f t="shared" si="9"/>
        <v>6389.3883408967076</v>
      </c>
      <c r="E140" s="170">
        <f t="shared" si="10"/>
        <v>-24042.602096641152</v>
      </c>
      <c r="F140" s="216">
        <f t="shared" si="11"/>
        <v>389848.61536950368</v>
      </c>
    </row>
    <row r="141" spans="2:6">
      <c r="B141" s="104">
        <f t="shared" si="12"/>
        <v>30</v>
      </c>
      <c r="C141" s="216">
        <f t="shared" si="8"/>
        <v>389848.61536950368</v>
      </c>
      <c r="D141" s="216">
        <f t="shared" si="9"/>
        <v>6112.5963608645307</v>
      </c>
      <c r="E141" s="170">
        <f t="shared" si="10"/>
        <v>-24027.06323720923</v>
      </c>
      <c r="F141" s="216">
        <f t="shared" si="11"/>
        <v>371934.14849315898</v>
      </c>
    </row>
    <row r="142" spans="2:6">
      <c r="B142" s="104">
        <f t="shared" si="12"/>
        <v>31</v>
      </c>
      <c r="C142" s="216">
        <f t="shared" si="8"/>
        <v>371934.14849315898</v>
      </c>
      <c r="D142" s="216">
        <f t="shared" si="9"/>
        <v>5831.7080859853613</v>
      </c>
      <c r="E142" s="170">
        <f t="shared" si="10"/>
        <v>-24011.368989182985</v>
      </c>
      <c r="F142" s="216">
        <f t="shared" si="11"/>
        <v>353754.48758996138</v>
      </c>
    </row>
    <row r="143" spans="2:6">
      <c r="B143" s="104">
        <f t="shared" si="12"/>
        <v>32</v>
      </c>
      <c r="C143" s="216">
        <f t="shared" si="8"/>
        <v>353754.48758996138</v>
      </c>
      <c r="D143" s="216">
        <f t="shared" si="9"/>
        <v>5546.6617251734569</v>
      </c>
      <c r="E143" s="170">
        <f t="shared" si="10"/>
        <v>-23995.517798676476</v>
      </c>
      <c r="F143" s="216">
        <f t="shared" si="11"/>
        <v>335305.63151645835</v>
      </c>
    </row>
    <row r="144" spans="2:6">
      <c r="B144" s="104">
        <f t="shared" si="12"/>
        <v>33</v>
      </c>
      <c r="C144" s="216">
        <f t="shared" si="8"/>
        <v>335305.63151645835</v>
      </c>
      <c r="D144" s="216">
        <f t="shared" si="9"/>
        <v>5257.3945428593097</v>
      </c>
      <c r="E144" s="170">
        <f t="shared" si="10"/>
        <v>-23979.508096264908</v>
      </c>
      <c r="F144" s="216">
        <f t="shared" si="11"/>
        <v>316583.51796305273</v>
      </c>
    </row>
    <row r="145" spans="2:6">
      <c r="B145" s="104">
        <f t="shared" si="12"/>
        <v>34</v>
      </c>
      <c r="C145" s="216">
        <f t="shared" si="8"/>
        <v>316583.51796305273</v>
      </c>
      <c r="D145" s="216">
        <f t="shared" si="9"/>
        <v>4963.8428444243382</v>
      </c>
      <c r="E145" s="170">
        <f t="shared" si="10"/>
        <v>-23963.33829682921</v>
      </c>
      <c r="F145" s="216">
        <f t="shared" si="11"/>
        <v>297584.02251064789</v>
      </c>
    </row>
    <row r="146" spans="2:6">
      <c r="B146" s="104">
        <f t="shared" si="12"/>
        <v>35</v>
      </c>
      <c r="C146" s="216">
        <f t="shared" si="8"/>
        <v>297584.02251064789</v>
      </c>
      <c r="D146" s="216">
        <f t="shared" si="9"/>
        <v>4665.9419614096414</v>
      </c>
      <c r="E146" s="170">
        <f t="shared" si="10"/>
        <v>-23947.006799399169</v>
      </c>
      <c r="F146" s="216">
        <f t="shared" si="11"/>
        <v>278302.95767265838</v>
      </c>
    </row>
    <row r="147" spans="2:6">
      <c r="B147" s="104">
        <f t="shared" si="12"/>
        <v>36</v>
      </c>
      <c r="C147" s="216">
        <f t="shared" si="8"/>
        <v>278302.95767265838</v>
      </c>
      <c r="D147" s="216">
        <f t="shared" si="9"/>
        <v>4363.62623649529</v>
      </c>
      <c r="E147" s="170">
        <f t="shared" si="10"/>
        <v>-23930.511986994825</v>
      </c>
      <c r="F147" s="216">
        <f t="shared" si="11"/>
        <v>258736.07192215882</v>
      </c>
    </row>
    <row r="148" spans="2:6">
      <c r="B148" s="104">
        <f t="shared" si="12"/>
        <v>37</v>
      </c>
      <c r="C148" s="216">
        <f t="shared" si="8"/>
        <v>258736.07192215882</v>
      </c>
      <c r="D148" s="216">
        <f t="shared" si="9"/>
        <v>4056.8290082465942</v>
      </c>
      <c r="E148" s="170">
        <f t="shared" si="10"/>
        <v>-23913.852226466435</v>
      </c>
      <c r="F148" s="216">
        <f t="shared" si="11"/>
        <v>238879.04870393898</v>
      </c>
    </row>
    <row r="149" spans="2:6">
      <c r="B149" s="104">
        <f t="shared" si="12"/>
        <v>38</v>
      </c>
      <c r="C149" s="216">
        <f t="shared" si="8"/>
        <v>238879.04870393898</v>
      </c>
      <c r="D149" s="216">
        <f t="shared" si="9"/>
        <v>3745.4825956237114</v>
      </c>
      <c r="E149" s="170">
        <f t="shared" si="10"/>
        <v>-23897.025868332759</v>
      </c>
      <c r="F149" s="216">
        <f t="shared" si="11"/>
        <v>218727.50543122992</v>
      </c>
    </row>
    <row r="150" spans="2:6">
      <c r="B150" s="104">
        <f t="shared" si="12"/>
        <v>39</v>
      </c>
      <c r="C150" s="216">
        <f t="shared" si="8"/>
        <v>218727.50543122992</v>
      </c>
      <c r="D150" s="216">
        <f t="shared" si="9"/>
        <v>3429.5182822509023</v>
      </c>
      <c r="E150" s="170">
        <f t="shared" si="10"/>
        <v>-23880.031246617749</v>
      </c>
      <c r="F150" s="216">
        <f t="shared" si="11"/>
        <v>198276.99246686307</v>
      </c>
    </row>
    <row r="151" spans="2:6">
      <c r="B151" s="104">
        <f t="shared" si="12"/>
        <v>40</v>
      </c>
      <c r="C151" s="216">
        <f t="shared" si="8"/>
        <v>198276.99246686307</v>
      </c>
      <c r="D151" s="216">
        <f t="shared" si="9"/>
        <v>3108.8663004417081</v>
      </c>
      <c r="E151" s="170">
        <f t="shared" si="10"/>
        <v>-23862.86667868559</v>
      </c>
      <c r="F151" s="216">
        <f t="shared" si="11"/>
        <v>177522.99208861918</v>
      </c>
    </row>
    <row r="152" spans="2:6">
      <c r="B152" s="104">
        <f t="shared" si="12"/>
        <v>41</v>
      </c>
      <c r="C152" s="216">
        <f t="shared" si="8"/>
        <v>177522.99208861918</v>
      </c>
      <c r="D152" s="216">
        <f t="shared" si="9"/>
        <v>2783.4558149762297</v>
      </c>
      <c r="E152" s="170">
        <f t="shared" si="10"/>
        <v>-23845.530465074105</v>
      </c>
      <c r="F152" s="216">
        <f t="shared" si="11"/>
        <v>156460.91743852128</v>
      </c>
    </row>
    <row r="153" spans="2:6">
      <c r="B153" s="104">
        <f t="shared" si="12"/>
        <v>42</v>
      </c>
      <c r="C153" s="216">
        <f t="shared" si="8"/>
        <v>156460.91743852128</v>
      </c>
      <c r="D153" s="216">
        <f t="shared" si="9"/>
        <v>2453.2149066266634</v>
      </c>
      <c r="E153" s="170">
        <f t="shared" si="10"/>
        <v>-23828.020889326508</v>
      </c>
      <c r="F153" s="216">
        <f t="shared" si="11"/>
        <v>135086.11145582143</v>
      </c>
    </row>
    <row r="154" spans="2:6">
      <c r="B154" s="104">
        <f t="shared" si="12"/>
        <v>43</v>
      </c>
      <c r="C154" s="216">
        <f t="shared" si="8"/>
        <v>135086.11145582143</v>
      </c>
      <c r="D154" s="216">
        <f t="shared" si="9"/>
        <v>2118.0705554271617</v>
      </c>
      <c r="E154" s="170">
        <f t="shared" si="10"/>
        <v>-23810.336217821434</v>
      </c>
      <c r="F154" s="216">
        <f t="shared" si="11"/>
        <v>113393.84579342717</v>
      </c>
    </row>
    <row r="155" spans="2:6">
      <c r="B155" s="104">
        <f t="shared" si="12"/>
        <v>44</v>
      </c>
      <c r="C155" s="216">
        <f t="shared" si="8"/>
        <v>113393.84579342717</v>
      </c>
      <c r="D155" s="216">
        <f t="shared" si="9"/>
        <v>1777.9486236840373</v>
      </c>
      <c r="E155" s="170">
        <f t="shared" si="10"/>
        <v>-23792.474699601309</v>
      </c>
      <c r="F155" s="216">
        <f t="shared" si="11"/>
        <v>91379.31971750989</v>
      </c>
    </row>
    <row r="156" spans="2:6">
      <c r="B156" s="104">
        <f t="shared" si="12"/>
        <v>45</v>
      </c>
      <c r="C156" s="216">
        <f t="shared" si="8"/>
        <v>91379.31971750989</v>
      </c>
      <c r="D156" s="216">
        <f t="shared" si="9"/>
        <v>1432.7738387222748</v>
      </c>
      <c r="E156" s="170">
        <f t="shared" si="10"/>
        <v>-23774.43456619899</v>
      </c>
      <c r="F156" s="216">
        <f t="shared" si="11"/>
        <v>69037.658990033175</v>
      </c>
    </row>
    <row r="157" spans="2:6">
      <c r="B157" s="104">
        <f t="shared" si="12"/>
        <v>46</v>
      </c>
      <c r="C157" s="216">
        <f t="shared" si="8"/>
        <v>69037.658990033175</v>
      </c>
      <c r="D157" s="216">
        <f t="shared" si="9"/>
        <v>1082.4697753642313</v>
      </c>
      <c r="E157" s="170">
        <f t="shared" si="10"/>
        <v>-23756.214031462641</v>
      </c>
      <c r="F157" s="216">
        <f t="shared" si="11"/>
        <v>46363.914733934755</v>
      </c>
    </row>
    <row r="158" spans="2:6" ht="21.75" thickBot="1">
      <c r="B158" s="104">
        <f t="shared" si="12"/>
        <v>47</v>
      </c>
      <c r="C158" s="216">
        <f t="shared" si="8"/>
        <v>46363.914733934755</v>
      </c>
      <c r="D158" s="216">
        <f t="shared" si="9"/>
        <v>726.95883813635976</v>
      </c>
      <c r="E158" s="170">
        <f t="shared" si="10"/>
        <v>-23737.81129137893</v>
      </c>
      <c r="F158" s="216">
        <f t="shared" si="11"/>
        <v>23353.062280692182</v>
      </c>
    </row>
    <row r="159" spans="2:6" ht="21.75" thickBot="1">
      <c r="B159" s="104">
        <f t="shared" si="12"/>
        <v>48</v>
      </c>
      <c r="C159" s="216">
        <f t="shared" si="8"/>
        <v>23353.062280692182</v>
      </c>
      <c r="D159" s="216">
        <f t="shared" si="9"/>
        <v>366.16224319971866</v>
      </c>
      <c r="E159" s="170">
        <f t="shared" si="10"/>
        <v>-23719.224523894383</v>
      </c>
      <c r="F159" s="217">
        <f t="shared" si="11"/>
        <v>-2.4811015464365482E-9</v>
      </c>
    </row>
    <row r="161" spans="1:11">
      <c r="A161" s="110" t="s">
        <v>85</v>
      </c>
      <c r="B161" s="111" t="s">
        <v>86</v>
      </c>
      <c r="C161" s="112"/>
      <c r="D161" s="112"/>
      <c r="E161" s="112"/>
      <c r="F161" s="112"/>
      <c r="G161" s="112"/>
      <c r="H161" s="112"/>
      <c r="I161" s="112"/>
      <c r="J161" s="112"/>
      <c r="K161" s="113"/>
    </row>
    <row r="163" spans="1:11">
      <c r="B163" s="218" t="s">
        <v>87</v>
      </c>
      <c r="C163" s="219"/>
      <c r="D163" s="219"/>
      <c r="E163" s="219"/>
      <c r="F163" s="220"/>
      <c r="G163" s="220"/>
    </row>
    <row r="164" spans="1:11">
      <c r="B164" s="118" t="s">
        <v>88</v>
      </c>
      <c r="C164" s="119"/>
      <c r="D164" s="119"/>
      <c r="E164" s="119"/>
      <c r="F164" s="120"/>
      <c r="G164" s="120"/>
    </row>
    <row r="165" spans="1:11">
      <c r="B165" s="118" t="s">
        <v>89</v>
      </c>
      <c r="C165" s="119"/>
      <c r="D165" s="119"/>
      <c r="E165" s="119"/>
      <c r="F165" s="120"/>
      <c r="G165" s="120"/>
    </row>
    <row r="166" spans="1:11">
      <c r="B166" s="118" t="s">
        <v>90</v>
      </c>
      <c r="C166" s="119"/>
      <c r="D166" s="119"/>
      <c r="E166" s="119"/>
      <c r="F166" s="120"/>
      <c r="G166" s="120"/>
    </row>
    <row r="167" spans="1:11">
      <c r="F167" s="109" t="s">
        <v>52</v>
      </c>
      <c r="G167" s="109" t="s">
        <v>53</v>
      </c>
    </row>
    <row r="168" spans="1:11" ht="21.75" thickBot="1">
      <c r="B168" s="140" t="s">
        <v>50</v>
      </c>
      <c r="C168" s="140"/>
      <c r="D168" s="140"/>
      <c r="E168" s="140"/>
      <c r="F168" s="141">
        <f>+C112</f>
        <v>810000</v>
      </c>
      <c r="G168" s="140"/>
    </row>
    <row r="169" spans="1:11" ht="21.75" thickBot="1">
      <c r="B169" s="140" t="s">
        <v>51</v>
      </c>
      <c r="C169" s="140"/>
      <c r="D169" s="140"/>
      <c r="E169" s="140"/>
      <c r="F169" s="140"/>
      <c r="G169" s="142">
        <f>+F168</f>
        <v>810000</v>
      </c>
    </row>
    <row r="171" spans="1:11">
      <c r="B171" s="218" t="s">
        <v>91</v>
      </c>
      <c r="C171" s="219"/>
      <c r="D171" s="219"/>
      <c r="E171" s="219"/>
      <c r="F171" s="220"/>
      <c r="G171" s="220"/>
    </row>
    <row r="172" spans="1:11">
      <c r="B172" s="118" t="s">
        <v>94</v>
      </c>
      <c r="C172" s="119"/>
      <c r="D172" s="119"/>
      <c r="E172" s="119"/>
      <c r="F172" s="120"/>
      <c r="G172" s="120"/>
    </row>
    <row r="173" spans="1:11">
      <c r="B173" s="118" t="s">
        <v>153</v>
      </c>
      <c r="C173" s="119"/>
      <c r="D173" s="119"/>
      <c r="E173" s="119"/>
      <c r="F173" s="120"/>
      <c r="G173" s="120"/>
    </row>
    <row r="174" spans="1:11">
      <c r="B174" s="118" t="s">
        <v>154</v>
      </c>
      <c r="C174" s="119"/>
      <c r="D174" s="119"/>
      <c r="E174" s="119"/>
      <c r="F174" s="120"/>
      <c r="G174" s="120"/>
    </row>
    <row r="175" spans="1:11">
      <c r="B175" s="118" t="s">
        <v>92</v>
      </c>
      <c r="C175" s="119"/>
      <c r="D175" s="119"/>
      <c r="E175" s="119"/>
      <c r="F175" s="120"/>
      <c r="G175" s="120"/>
    </row>
    <row r="176" spans="1:11" ht="21.75" thickBot="1">
      <c r="F176" s="109" t="s">
        <v>52</v>
      </c>
      <c r="G176" s="109" t="s">
        <v>53</v>
      </c>
    </row>
    <row r="177" spans="1:10" ht="21.75" thickBot="1">
      <c r="B177" s="143" t="s">
        <v>93</v>
      </c>
      <c r="C177" s="123" t="s">
        <v>56</v>
      </c>
      <c r="D177" s="123"/>
      <c r="E177" s="123"/>
      <c r="F177" s="221">
        <f>VLOOKUP(B178,$B$112:$F$159,3,FALSE)</f>
        <v>12700.322271524434</v>
      </c>
      <c r="G177" s="123"/>
    </row>
    <row r="178" spans="1:10" ht="21.75" thickBot="1">
      <c r="A178" s="108" t="s">
        <v>95</v>
      </c>
      <c r="B178" s="144">
        <v>1</v>
      </c>
      <c r="C178" s="123" t="s">
        <v>51</v>
      </c>
      <c r="D178" s="123"/>
      <c r="E178" s="123"/>
      <c r="F178" s="131">
        <f>+G179-F177</f>
        <v>11720.129617210558</v>
      </c>
      <c r="G178" s="124"/>
    </row>
    <row r="179" spans="1:10" ht="21.75" thickBot="1">
      <c r="A179" s="108"/>
      <c r="B179" s="145"/>
      <c r="C179" s="123" t="s">
        <v>50</v>
      </c>
      <c r="D179" s="123"/>
      <c r="E179" s="123"/>
      <c r="F179" s="123"/>
      <c r="G179" s="221">
        <f>-VLOOKUP(B178,$B$112:$F$159,4,FALSE)</f>
        <v>24420.451888734991</v>
      </c>
    </row>
    <row r="180" spans="1:10" ht="21.75" thickBot="1">
      <c r="A180" s="108"/>
    </row>
    <row r="181" spans="1:10" ht="21.75" thickBot="1">
      <c r="A181" s="108"/>
      <c r="B181" s="143" t="s">
        <v>93</v>
      </c>
      <c r="C181" s="123" t="s">
        <v>56</v>
      </c>
      <c r="D181" s="123"/>
      <c r="E181" s="123"/>
      <c r="F181" s="124">
        <f>VLOOKUP(B182,$B$112:$F$159,3,FALSE)</f>
        <v>12516.557551521209</v>
      </c>
      <c r="G181" s="123"/>
    </row>
    <row r="182" spans="1:10" ht="21.75" thickBot="1">
      <c r="A182" s="108" t="s">
        <v>96</v>
      </c>
      <c r="B182" s="144">
        <v>2</v>
      </c>
      <c r="C182" s="123" t="s">
        <v>51</v>
      </c>
      <c r="D182" s="123"/>
      <c r="E182" s="123"/>
      <c r="F182" s="131">
        <f>+G183-F181</f>
        <v>11892.133975702794</v>
      </c>
      <c r="G182" s="124"/>
    </row>
    <row r="183" spans="1:10" ht="21.75" thickBot="1">
      <c r="A183" s="108"/>
      <c r="B183" s="145"/>
      <c r="C183" s="123" t="s">
        <v>50</v>
      </c>
      <c r="D183" s="123"/>
      <c r="E183" s="123"/>
      <c r="F183" s="123"/>
      <c r="G183" s="124">
        <f>-VLOOKUP(B182,$B$112:$F$159,4,FALSE)</f>
        <v>24408.691527224004</v>
      </c>
    </row>
    <row r="184" spans="1:10" ht="21.75" thickBot="1">
      <c r="A184" s="108"/>
    </row>
    <row r="185" spans="1:10" ht="21.75" thickBot="1">
      <c r="A185" s="108"/>
      <c r="B185" s="143" t="s">
        <v>93</v>
      </c>
      <c r="C185" s="123" t="s">
        <v>56</v>
      </c>
      <c r="D185" s="123"/>
      <c r="E185" s="123"/>
      <c r="F185" s="124">
        <f>VLOOKUP(B186,$B$112:$F$159,3,FALSE)</f>
        <v>12330.095904622975</v>
      </c>
      <c r="G185" s="123"/>
    </row>
    <row r="186" spans="1:10" ht="21.75" thickBot="1">
      <c r="A186" s="108" t="s">
        <v>97</v>
      </c>
      <c r="B186" s="144">
        <v>3</v>
      </c>
      <c r="C186" s="123" t="s">
        <v>51</v>
      </c>
      <c r="D186" s="123"/>
      <c r="E186" s="123"/>
      <c r="F186" s="131">
        <f>+G187-F185</f>
        <v>12066.717657474923</v>
      </c>
      <c r="G186" s="124"/>
    </row>
    <row r="187" spans="1:10" ht="21.75" thickBot="1">
      <c r="A187" s="108"/>
      <c r="B187" s="145"/>
      <c r="C187" s="123" t="s">
        <v>50</v>
      </c>
      <c r="D187" s="123"/>
      <c r="E187" s="123"/>
      <c r="F187" s="123"/>
      <c r="G187" s="124">
        <f>-VLOOKUP(B186,$B$112:$F$159,4,FALSE)</f>
        <v>24396.813562097897</v>
      </c>
    </row>
    <row r="188" spans="1:10" ht="21.75" thickBot="1">
      <c r="A188" s="108"/>
    </row>
    <row r="189" spans="1:10" ht="21.75" thickBot="1">
      <c r="A189" s="108"/>
      <c r="B189" s="143" t="s">
        <v>93</v>
      </c>
      <c r="C189" s="123" t="s">
        <v>56</v>
      </c>
      <c r="D189" s="123"/>
      <c r="E189" s="123"/>
      <c r="F189" s="124">
        <f>VLOOKUP(B190,$B$112:$F$159,3,FALSE)</f>
        <v>12140.896888561954</v>
      </c>
      <c r="G189" s="123"/>
    </row>
    <row r="190" spans="1:10" ht="21.75" thickBot="1">
      <c r="A190" s="108" t="s">
        <v>98</v>
      </c>
      <c r="B190" s="144">
        <v>4</v>
      </c>
      <c r="C190" s="123" t="s">
        <v>51</v>
      </c>
      <c r="D190" s="123"/>
      <c r="E190" s="123"/>
      <c r="F190" s="131">
        <f>+G191-F189</f>
        <v>12243.919928758583</v>
      </c>
      <c r="G190" s="124"/>
      <c r="H190" s="146" t="s">
        <v>99</v>
      </c>
      <c r="I190" s="147"/>
      <c r="J190" s="131">
        <f>+G169-F178-F182-F186-F190</f>
        <v>762077.09882085305</v>
      </c>
    </row>
    <row r="191" spans="1:10" ht="21.75" thickBot="1">
      <c r="B191" s="145"/>
      <c r="C191" s="123" t="s">
        <v>50</v>
      </c>
      <c r="D191" s="123"/>
      <c r="E191" s="123"/>
      <c r="F191" s="123"/>
      <c r="G191" s="124">
        <f>-VLOOKUP(B190,$B$112:$F$159,4,FALSE)</f>
        <v>24384.816817320538</v>
      </c>
      <c r="H191" s="148" t="s">
        <v>101</v>
      </c>
      <c r="I191" s="149"/>
      <c r="J191" s="150"/>
    </row>
    <row r="194" spans="1:10" ht="24">
      <c r="A194" s="151" t="s">
        <v>104</v>
      </c>
      <c r="B194" s="152"/>
      <c r="C194" s="152"/>
      <c r="D194" s="152"/>
      <c r="E194" s="152"/>
      <c r="F194" s="152"/>
      <c r="G194" s="152"/>
      <c r="H194" s="152"/>
      <c r="I194" s="152"/>
      <c r="J194" s="152"/>
    </row>
    <row r="195" spans="1:10">
      <c r="B195" s="108" t="s">
        <v>105</v>
      </c>
    </row>
    <row r="196" spans="1:10">
      <c r="B196" s="174" t="s">
        <v>106</v>
      </c>
    </row>
    <row r="197" spans="1:10">
      <c r="B197" s="174" t="s">
        <v>155</v>
      </c>
    </row>
    <row r="198" spans="1:10">
      <c r="B198" s="174" t="s">
        <v>156</v>
      </c>
    </row>
    <row r="199" spans="1:10">
      <c r="B199" s="174" t="s">
        <v>107</v>
      </c>
    </row>
    <row r="201" spans="1:10">
      <c r="D201" s="156" t="s">
        <v>108</v>
      </c>
      <c r="F201" s="154" t="s">
        <v>108</v>
      </c>
      <c r="G201" s="154"/>
      <c r="H201" s="154"/>
      <c r="I201" s="154"/>
    </row>
    <row r="202" spans="1:10">
      <c r="D202" s="156" t="s">
        <v>110</v>
      </c>
      <c r="F202" s="154" t="s">
        <v>111</v>
      </c>
      <c r="G202" s="154"/>
      <c r="H202" s="154"/>
      <c r="I202" s="154"/>
    </row>
    <row r="203" spans="1:10" ht="21.75" thickBot="1">
      <c r="D203" s="157" t="s">
        <v>109</v>
      </c>
      <c r="F203" s="155" t="s">
        <v>112</v>
      </c>
      <c r="G203" s="155" t="s">
        <v>113</v>
      </c>
      <c r="H203" s="155" t="s">
        <v>114</v>
      </c>
      <c r="I203" s="155" t="s">
        <v>115</v>
      </c>
    </row>
    <row r="204" spans="1:10">
      <c r="B204" s="126" t="s">
        <v>121</v>
      </c>
      <c r="C204" s="227">
        <v>1</v>
      </c>
      <c r="D204" s="228">
        <f>+D112</f>
        <v>12700.322271524434</v>
      </c>
      <c r="E204" s="227"/>
      <c r="F204" s="229">
        <f>+C10*C7</f>
        <v>90000</v>
      </c>
      <c r="G204" s="229">
        <f>+F8</f>
        <v>9000</v>
      </c>
      <c r="H204" s="229">
        <f>+H8+I8</f>
        <v>719.99999999999977</v>
      </c>
      <c r="I204" s="159">
        <f>+F204+G204+H204</f>
        <v>99720</v>
      </c>
    </row>
    <row r="205" spans="1:10">
      <c r="B205" s="135" t="s">
        <v>121</v>
      </c>
      <c r="C205" s="224">
        <f>+C204+1</f>
        <v>2</v>
      </c>
      <c r="D205" s="226">
        <f>+D113</f>
        <v>12516.557551521209</v>
      </c>
      <c r="E205" s="224"/>
      <c r="F205" s="224"/>
      <c r="G205" s="225">
        <f>+F9</f>
        <v>8852.9954811126499</v>
      </c>
      <c r="H205" s="225">
        <f>+H9+I9</f>
        <v>708.23963848901167</v>
      </c>
      <c r="I205" s="161">
        <f t="shared" ref="I205:I251" si="13">+F205+G205+H205</f>
        <v>9561.2351196016607</v>
      </c>
    </row>
    <row r="206" spans="1:10">
      <c r="B206" s="135" t="s">
        <v>121</v>
      </c>
      <c r="C206" s="224">
        <f t="shared" ref="C206:C251" si="14">+C205+1</f>
        <v>3</v>
      </c>
      <c r="D206" s="226">
        <f>+D114</f>
        <v>12330.095904622975</v>
      </c>
      <c r="E206" s="224"/>
      <c r="F206" s="224"/>
      <c r="G206" s="225">
        <f>+F10</f>
        <v>8704.5209170364233</v>
      </c>
      <c r="H206" s="225">
        <f>+H10+I10</f>
        <v>696.36167336291385</v>
      </c>
      <c r="I206" s="161">
        <f t="shared" si="13"/>
        <v>9400.8825903993366</v>
      </c>
    </row>
    <row r="207" spans="1:10" ht="21.75" thickBot="1">
      <c r="B207" s="128" t="s">
        <v>121</v>
      </c>
      <c r="C207" s="230">
        <f t="shared" si="14"/>
        <v>4</v>
      </c>
      <c r="D207" s="231">
        <f>+D115</f>
        <v>12140.896888561954</v>
      </c>
      <c r="E207" s="230"/>
      <c r="F207" s="230"/>
      <c r="G207" s="232">
        <f>+F11</f>
        <v>8554.5616073194396</v>
      </c>
      <c r="H207" s="232">
        <f>+H11+I11</f>
        <v>684.36492858555505</v>
      </c>
      <c r="I207" s="163">
        <f t="shared" si="13"/>
        <v>9238.926535904995</v>
      </c>
    </row>
    <row r="208" spans="1:10">
      <c r="B208" s="126" t="s">
        <v>122</v>
      </c>
      <c r="C208" s="127">
        <f t="shared" si="14"/>
        <v>5</v>
      </c>
      <c r="D208" s="228">
        <f>+D116</f>
        <v>11948.919445399022</v>
      </c>
      <c r="E208" s="127"/>
      <c r="F208" s="127"/>
      <c r="G208" s="158">
        <f>+F12</f>
        <v>8403.1027045052851</v>
      </c>
      <c r="H208" s="158">
        <f>+H12+I12</f>
        <v>672.24821636042259</v>
      </c>
      <c r="I208" s="159">
        <f t="shared" si="13"/>
        <v>9075.3509208657069</v>
      </c>
    </row>
    <row r="209" spans="2:9">
      <c r="B209" s="135" t="s">
        <v>122</v>
      </c>
      <c r="C209" s="136">
        <f t="shared" si="14"/>
        <v>6</v>
      </c>
      <c r="D209" s="226">
        <f>+D117</f>
        <v>11754.121892054731</v>
      </c>
      <c r="E209" s="136"/>
      <c r="F209" s="136"/>
      <c r="G209" s="160">
        <f>+F13</f>
        <v>8250.1292126629869</v>
      </c>
      <c r="H209" s="160">
        <f>+H13+I13</f>
        <v>660.01033701303879</v>
      </c>
      <c r="I209" s="161">
        <f t="shared" si="13"/>
        <v>8910.1395496760251</v>
      </c>
    </row>
    <row r="210" spans="2:9">
      <c r="B210" s="135" t="s">
        <v>122</v>
      </c>
      <c r="C210" s="136">
        <f t="shared" si="14"/>
        <v>7</v>
      </c>
      <c r="D210" s="226">
        <f>+D118</f>
        <v>11556.461910693717</v>
      </c>
      <c r="E210" s="136"/>
      <c r="F210" s="136"/>
      <c r="G210" s="160">
        <f>+F14</f>
        <v>8095.6259859022675</v>
      </c>
      <c r="H210" s="160">
        <f>+H14+I14</f>
        <v>647.65007887218121</v>
      </c>
      <c r="I210" s="161">
        <f t="shared" si="13"/>
        <v>8743.276064774449</v>
      </c>
    </row>
    <row r="211" spans="2:9">
      <c r="B211" s="135" t="s">
        <v>122</v>
      </c>
      <c r="C211" s="136">
        <f t="shared" si="14"/>
        <v>8</v>
      </c>
      <c r="D211" s="226">
        <f>+D119</f>
        <v>11355.896538960207</v>
      </c>
      <c r="E211" s="136"/>
      <c r="F211" s="136"/>
      <c r="G211" s="160">
        <f>+F15</f>
        <v>7939.5777268739421</v>
      </c>
      <c r="H211" s="160">
        <f>+H15+I15</f>
        <v>635.16621814991504</v>
      </c>
      <c r="I211" s="161">
        <f t="shared" si="13"/>
        <v>8574.7439450238562</v>
      </c>
    </row>
    <row r="212" spans="2:9">
      <c r="B212" s="135" t="s">
        <v>122</v>
      </c>
      <c r="C212" s="136">
        <f t="shared" si="14"/>
        <v>9</v>
      </c>
      <c r="D212" s="226">
        <f>+D120</f>
        <v>11152.382160062305</v>
      </c>
      <c r="E212" s="136"/>
      <c r="F212" s="136"/>
      <c r="G212" s="160">
        <f>+F16</f>
        <v>7781.9689852553292</v>
      </c>
      <c r="H212" s="160">
        <f>+H16+I16</f>
        <v>622.55751882042614</v>
      </c>
      <c r="I212" s="161">
        <f t="shared" si="13"/>
        <v>8404.5265040757549</v>
      </c>
    </row>
    <row r="213" spans="2:9">
      <c r="B213" s="135" t="s">
        <v>122</v>
      </c>
      <c r="C213" s="136">
        <f t="shared" si="14"/>
        <v>10</v>
      </c>
      <c r="D213" s="226">
        <f>+D121</f>
        <v>10945.874492702696</v>
      </c>
      <c r="E213" s="136"/>
      <c r="F213" s="136"/>
      <c r="G213" s="160">
        <f>+F17</f>
        <v>7622.7841562205331</v>
      </c>
      <c r="H213" s="160">
        <f>+H17+I17</f>
        <v>609.82273249764251</v>
      </c>
      <c r="I213" s="161">
        <f t="shared" si="13"/>
        <v>8232.6068887181755</v>
      </c>
    </row>
    <row r="214" spans="2:9">
      <c r="B214" s="135" t="s">
        <v>122</v>
      </c>
      <c r="C214" s="136">
        <f t="shared" si="14"/>
        <v>11</v>
      </c>
      <c r="D214" s="226">
        <f>+D122</f>
        <v>10736.328580853396</v>
      </c>
      <c r="E214" s="136"/>
      <c r="F214" s="136"/>
      <c r="G214" s="160">
        <f>+F18</f>
        <v>7462.0074788953889</v>
      </c>
      <c r="H214" s="160">
        <f>+H18+I18</f>
        <v>596.96059831163097</v>
      </c>
      <c r="I214" s="161">
        <f t="shared" si="13"/>
        <v>8058.9680772070196</v>
      </c>
    </row>
    <row r="215" spans="2:9">
      <c r="B215" s="135" t="s">
        <v>122</v>
      </c>
      <c r="C215" s="136">
        <f t="shared" si="14"/>
        <v>12</v>
      </c>
      <c r="D215" s="226">
        <f>+D123</f>
        <v>10523.698783372116</v>
      </c>
      <c r="E215" s="136"/>
      <c r="F215" s="136"/>
      <c r="G215" s="160">
        <f>+F19</f>
        <v>7299.6230347969931</v>
      </c>
      <c r="H215" s="160">
        <f>+H19+I19</f>
        <v>583.9698427837593</v>
      </c>
      <c r="I215" s="161">
        <f t="shared" si="13"/>
        <v>7883.5928775807524</v>
      </c>
    </row>
    <row r="216" spans="2:9">
      <c r="B216" s="135" t="s">
        <v>122</v>
      </c>
      <c r="C216" s="136">
        <f t="shared" si="14"/>
        <v>13</v>
      </c>
      <c r="D216" s="226">
        <f>+D124</f>
        <v>10307.938763457765</v>
      </c>
      <c r="E216" s="136"/>
      <c r="F216" s="136"/>
      <c r="G216" s="160">
        <f>+F20</f>
        <v>7135.6147462576128</v>
      </c>
      <c r="H216" s="160">
        <f>+H20+I20</f>
        <v>570.84917970060883</v>
      </c>
      <c r="I216" s="161">
        <f t="shared" si="13"/>
        <v>7706.4639259582218</v>
      </c>
    </row>
    <row r="217" spans="2:9">
      <c r="B217" s="135" t="s">
        <v>122</v>
      </c>
      <c r="C217" s="136">
        <f t="shared" si="14"/>
        <v>14</v>
      </c>
      <c r="D217" s="226">
        <f>+D125</f>
        <v>10089.001477942613</v>
      </c>
      <c r="E217" s="136"/>
      <c r="F217" s="136"/>
      <c r="G217" s="160">
        <f>+F21</f>
        <v>6969.9663748328385</v>
      </c>
      <c r="H217" s="160">
        <f>+H21+I21</f>
        <v>557.59730998662701</v>
      </c>
      <c r="I217" s="161">
        <f t="shared" si="13"/>
        <v>7527.5636848194654</v>
      </c>
    </row>
    <row r="218" spans="2:9">
      <c r="B218" s="135" t="s">
        <v>122</v>
      </c>
      <c r="C218" s="136">
        <f t="shared" si="14"/>
        <v>15</v>
      </c>
      <c r="D218" s="226">
        <f>+D126</f>
        <v>9866.8391664185347</v>
      </c>
      <c r="E218" s="136"/>
      <c r="F218" s="136"/>
      <c r="G218" s="160">
        <f>+F22</f>
        <v>6802.6615196938183</v>
      </c>
      <c r="H218" s="160">
        <f>+H22+I22</f>
        <v>544.21292157550533</v>
      </c>
      <c r="I218" s="161">
        <f t="shared" si="13"/>
        <v>7346.8744412693231</v>
      </c>
    </row>
    <row r="219" spans="2:9" ht="21.75" thickBot="1">
      <c r="B219" s="128" t="s">
        <v>122</v>
      </c>
      <c r="C219" s="129">
        <f t="shared" si="14"/>
        <v>16</v>
      </c>
      <c r="D219" s="231">
        <f>+D127</f>
        <v>9641.4033401948127</v>
      </c>
      <c r="E219" s="129"/>
      <c r="F219" s="129"/>
      <c r="G219" s="162">
        <f>+F23</f>
        <v>6633.6836160034063</v>
      </c>
      <c r="H219" s="162">
        <f>+H23+I23</f>
        <v>530.69468928027243</v>
      </c>
      <c r="I219" s="163">
        <f t="shared" si="13"/>
        <v>7164.3783052836789</v>
      </c>
    </row>
    <row r="220" spans="2:9">
      <c r="B220" s="126" t="s">
        <v>123</v>
      </c>
      <c r="C220" s="127">
        <f t="shared" si="14"/>
        <v>17</v>
      </c>
      <c r="D220" s="228">
        <f>+D128</f>
        <v>9412.6447710847951</v>
      </c>
      <c r="E220" s="127"/>
      <c r="F220" s="127"/>
      <c r="G220" s="158">
        <f>+F24</f>
        <v>6463.0159332760886</v>
      </c>
      <c r="H220" s="158">
        <f>+H24+I24</f>
        <v>517.04127466208718</v>
      </c>
      <c r="I220" s="159">
        <f t="shared" si="13"/>
        <v>6980.0572079381755</v>
      </c>
    </row>
    <row r="221" spans="2:9">
      <c r="B221" s="135" t="s">
        <v>123</v>
      </c>
      <c r="C221" s="136">
        <f t="shared" si="14"/>
        <v>18</v>
      </c>
      <c r="D221" s="226">
        <f>+D129</f>
        <v>9180.5134800188353</v>
      </c>
      <c r="E221" s="136"/>
      <c r="F221" s="136"/>
      <c r="G221" s="160">
        <f>+F25</f>
        <v>6290.6415737215011</v>
      </c>
      <c r="H221" s="160">
        <f>+H25+I25</f>
        <v>503.25132589772011</v>
      </c>
      <c r="I221" s="161">
        <f t="shared" si="13"/>
        <v>6793.8928996192208</v>
      </c>
    </row>
    <row r="222" spans="2:9">
      <c r="B222" s="135" t="s">
        <v>123</v>
      </c>
      <c r="C222" s="136">
        <f t="shared" si="14"/>
        <v>19</v>
      </c>
      <c r="D222" s="226">
        <f>+D130</f>
        <v>8944.9587254807448</v>
      </c>
      <c r="E222" s="136"/>
      <c r="F222" s="136"/>
      <c r="G222" s="160">
        <f>+F26</f>
        <v>6116.5434705713651</v>
      </c>
      <c r="H222" s="160">
        <f>+H26+I26</f>
        <v>489.32347764570932</v>
      </c>
      <c r="I222" s="161">
        <f t="shared" si="13"/>
        <v>6605.8669482170744</v>
      </c>
    </row>
    <row r="223" spans="2:9">
      <c r="B223" s="135" t="s">
        <v>123</v>
      </c>
      <c r="C223" s="136">
        <f t="shared" si="14"/>
        <v>20</v>
      </c>
      <c r="D223" s="226">
        <f>+D131</f>
        <v>8705.9289917650312</v>
      </c>
      <c r="E223" s="136"/>
      <c r="F223" s="136"/>
      <c r="G223" s="160">
        <f>+F27</f>
        <v>5940.7043863897306</v>
      </c>
      <c r="H223" s="160">
        <f>+H27+I27</f>
        <v>475.25635091117834</v>
      </c>
      <c r="I223" s="161">
        <f t="shared" si="13"/>
        <v>6415.9607373009094</v>
      </c>
    </row>
    <row r="224" spans="2:9">
      <c r="B224" s="135" t="s">
        <v>123</v>
      </c>
      <c r="C224" s="136">
        <f t="shared" si="14"/>
        <v>21</v>
      </c>
      <c r="D224" s="226">
        <f>+D132</f>
        <v>8463.3719770521529</v>
      </c>
      <c r="E224" s="136"/>
      <c r="F224" s="136"/>
      <c r="G224" s="160">
        <f>+F28</f>
        <v>5763.1069113662779</v>
      </c>
      <c r="H224" s="160">
        <f>+H28+I28</f>
        <v>461.0485529093022</v>
      </c>
      <c r="I224" s="161">
        <f t="shared" si="13"/>
        <v>6224.15546427558</v>
      </c>
    </row>
    <row r="225" spans="2:9">
      <c r="B225" s="135" t="s">
        <v>123</v>
      </c>
      <c r="C225" s="136">
        <f t="shared" si="14"/>
        <v>22</v>
      </c>
      <c r="D225" s="226">
        <f>+D133</f>
        <v>8217.2345812989297</v>
      </c>
      <c r="E225" s="136"/>
      <c r="F225" s="136"/>
      <c r="G225" s="160">
        <f>+F29</f>
        <v>5583.7334615925902</v>
      </c>
      <c r="H225" s="160">
        <f>+H29+I29</f>
        <v>446.69867692740718</v>
      </c>
      <c r="I225" s="161">
        <f t="shared" si="13"/>
        <v>6030.4321385199974</v>
      </c>
    </row>
    <row r="226" spans="2:9">
      <c r="B226" s="135" t="s">
        <v>123</v>
      </c>
      <c r="C226" s="136">
        <f t="shared" si="14"/>
        <v>23</v>
      </c>
      <c r="D226" s="226">
        <f>+D134</f>
        <v>7967.4628939412451</v>
      </c>
      <c r="E226" s="136"/>
      <c r="F226" s="136"/>
      <c r="G226" s="160">
        <f>+F30</f>
        <v>5402.566277321167</v>
      </c>
      <c r="H226" s="160">
        <f>+H30+I30</f>
        <v>432.2053021856932</v>
      </c>
      <c r="I226" s="161">
        <f t="shared" si="13"/>
        <v>5834.7715795068598</v>
      </c>
    </row>
    <row r="227" spans="2:9">
      <c r="B227" s="135" t="s">
        <v>123</v>
      </c>
      <c r="C227" s="136">
        <f t="shared" si="14"/>
        <v>24</v>
      </c>
      <c r="D227" s="226">
        <f>+D135</f>
        <v>7714.0021814061247</v>
      </c>
      <c r="E227" s="136"/>
      <c r="F227" s="136"/>
      <c r="G227" s="160">
        <f>+F31</f>
        <v>5219.5874212070285</v>
      </c>
      <c r="H227" s="160">
        <f>+H31+I31</f>
        <v>417.56699369656224</v>
      </c>
      <c r="I227" s="161">
        <f t="shared" si="13"/>
        <v>5637.1544149035908</v>
      </c>
    </row>
    <row r="228" spans="2:9">
      <c r="B228" s="135" t="s">
        <v>123</v>
      </c>
      <c r="C228" s="136">
        <f t="shared" si="14"/>
        <v>25</v>
      </c>
      <c r="D228" s="226">
        <f>+D136</f>
        <v>7456.7968744302088</v>
      </c>
      <c r="E228" s="136"/>
      <c r="F228" s="136"/>
      <c r="G228" s="160">
        <f>+F32</f>
        <v>5034.778776531748</v>
      </c>
      <c r="H228" s="160">
        <f>+H32+I32</f>
        <v>402.78230212253987</v>
      </c>
      <c r="I228" s="161">
        <f t="shared" si="13"/>
        <v>5437.5610786542875</v>
      </c>
    </row>
    <row r="229" spans="2:9">
      <c r="B229" s="135" t="s">
        <v>123</v>
      </c>
      <c r="C229" s="136">
        <f t="shared" si="14"/>
        <v>26</v>
      </c>
      <c r="D229" s="226">
        <f>+D137</f>
        <v>7195.7905551816202</v>
      </c>
      <c r="E229" s="136"/>
      <c r="F229" s="136"/>
      <c r="G229" s="160">
        <f>+F33</f>
        <v>4848.1220454097156</v>
      </c>
      <c r="H229" s="160">
        <f>+H33+I33</f>
        <v>387.84976363277718</v>
      </c>
      <c r="I229" s="161">
        <f t="shared" si="13"/>
        <v>5235.9718090424931</v>
      </c>
    </row>
    <row r="230" spans="2:9">
      <c r="B230" s="135" t="s">
        <v>123</v>
      </c>
      <c r="C230" s="136">
        <f t="shared" si="14"/>
        <v>27</v>
      </c>
      <c r="D230" s="226">
        <f>+D138</f>
        <v>6930.925944182155</v>
      </c>
      <c r="E230" s="136"/>
      <c r="F230" s="136"/>
      <c r="G230" s="160">
        <f>+F34</f>
        <v>4659.5987469764641</v>
      </c>
      <c r="H230" s="160">
        <f>+H34+I34</f>
        <v>372.76789975811704</v>
      </c>
      <c r="I230" s="161">
        <f t="shared" si="13"/>
        <v>5032.3666467345811</v>
      </c>
    </row>
    <row r="231" spans="2:9" ht="21.75" thickBot="1">
      <c r="B231" s="128" t="s">
        <v>123</v>
      </c>
      <c r="C231" s="129">
        <f t="shared" si="14"/>
        <v>28</v>
      </c>
      <c r="D231" s="231">
        <f>+D139</f>
        <v>6662.1448870266995</v>
      </c>
      <c r="E231" s="129"/>
      <c r="F231" s="129"/>
      <c r="G231" s="162">
        <f>+F35</f>
        <v>4469.1902155588778</v>
      </c>
      <c r="H231" s="162">
        <f>+H35+I35</f>
        <v>357.53521724471011</v>
      </c>
      <c r="I231" s="163">
        <f t="shared" si="13"/>
        <v>4826.7254328035879</v>
      </c>
    </row>
    <row r="232" spans="2:9">
      <c r="B232" s="126" t="s">
        <v>124</v>
      </c>
      <c r="C232" s="127">
        <f t="shared" si="14"/>
        <v>29</v>
      </c>
      <c r="D232" s="228">
        <f>+D140</f>
        <v>6389.3883408967076</v>
      </c>
      <c r="E232" s="127"/>
      <c r="F232" s="127"/>
      <c r="G232" s="158">
        <f>+F36</f>
        <v>4276.8775988271173</v>
      </c>
      <c r="H232" s="158">
        <f>+H36+I36</f>
        <v>342.15020790616927</v>
      </c>
      <c r="I232" s="159">
        <f t="shared" si="13"/>
        <v>4619.0278067332865</v>
      </c>
    </row>
    <row r="233" spans="2:9">
      <c r="B233" s="135" t="s">
        <v>124</v>
      </c>
      <c r="C233" s="136">
        <f t="shared" si="14"/>
        <v>30</v>
      </c>
      <c r="D233" s="226">
        <f>+D141</f>
        <v>6112.5963608645307</v>
      </c>
      <c r="E233" s="136"/>
      <c r="F233" s="136"/>
      <c r="G233" s="160">
        <f>+F37</f>
        <v>4082.6418559280378</v>
      </c>
      <c r="H233" s="160">
        <f>+H37+I37</f>
        <v>326.6113484742429</v>
      </c>
      <c r="I233" s="161">
        <f t="shared" si="13"/>
        <v>4409.253204402281</v>
      </c>
    </row>
    <row r="234" spans="2:9">
      <c r="B234" s="135" t="s">
        <v>124</v>
      </c>
      <c r="C234" s="136">
        <f t="shared" si="14"/>
        <v>31</v>
      </c>
      <c r="D234" s="226">
        <f>+D142</f>
        <v>5831.7080859853613</v>
      </c>
      <c r="E234" s="136"/>
      <c r="F234" s="136"/>
      <c r="G234" s="160">
        <f>+F38</f>
        <v>3886.4637555999684</v>
      </c>
      <c r="H234" s="160">
        <f>+H38+I38</f>
        <v>310.91710044799737</v>
      </c>
      <c r="I234" s="161">
        <f t="shared" si="13"/>
        <v>4197.3808560479656</v>
      </c>
    </row>
    <row r="235" spans="2:9">
      <c r="B235" s="135" t="s">
        <v>124</v>
      </c>
      <c r="C235" s="136">
        <f t="shared" si="14"/>
        <v>32</v>
      </c>
      <c r="D235" s="226">
        <f>+D143</f>
        <v>5546.6617251734569</v>
      </c>
      <c r="E235" s="136"/>
      <c r="F235" s="136"/>
      <c r="G235" s="160">
        <f>+F39</f>
        <v>3688.3238742686181</v>
      </c>
      <c r="H235" s="160">
        <f>+H39+I39</f>
        <v>295.06590994148939</v>
      </c>
      <c r="I235" s="161">
        <f t="shared" si="13"/>
        <v>3983.3897842101073</v>
      </c>
    </row>
    <row r="236" spans="2:9">
      <c r="B236" s="135" t="s">
        <v>124</v>
      </c>
      <c r="C236" s="136">
        <f t="shared" si="14"/>
        <v>33</v>
      </c>
      <c r="D236" s="226">
        <f>+D144</f>
        <v>5257.3945428593097</v>
      </c>
      <c r="E236" s="136"/>
      <c r="F236" s="136"/>
      <c r="G236" s="160">
        <f>+F40</f>
        <v>3488.2025941239544</v>
      </c>
      <c r="H236" s="160">
        <f>+H40+I40</f>
        <v>279.05620752991632</v>
      </c>
      <c r="I236" s="161">
        <f t="shared" si="13"/>
        <v>3767.2588016538707</v>
      </c>
    </row>
    <row r="237" spans="2:9">
      <c r="B237" s="135" t="s">
        <v>124</v>
      </c>
      <c r="C237" s="136">
        <f t="shared" si="14"/>
        <v>34</v>
      </c>
      <c r="D237" s="226">
        <f>+D145</f>
        <v>4963.8428444243382</v>
      </c>
      <c r="E237" s="136"/>
      <c r="F237" s="136"/>
      <c r="G237" s="160">
        <f>+F41</f>
        <v>3286.0801011778431</v>
      </c>
      <c r="H237" s="160">
        <f>+H41+I41</f>
        <v>262.88640809422742</v>
      </c>
      <c r="I237" s="161">
        <f t="shared" si="13"/>
        <v>3548.9665092720707</v>
      </c>
    </row>
    <row r="238" spans="2:9">
      <c r="B238" s="135" t="s">
        <v>124</v>
      </c>
      <c r="C238" s="136">
        <f t="shared" si="14"/>
        <v>35</v>
      </c>
      <c r="D238" s="226">
        <f>+D146</f>
        <v>4665.9419614096414</v>
      </c>
      <c r="E238" s="136"/>
      <c r="F238" s="136"/>
      <c r="G238" s="160">
        <f>+F42</f>
        <v>3081.9363833022726</v>
      </c>
      <c r="H238" s="160">
        <f>+H42+I42</f>
        <v>246.55491066418176</v>
      </c>
      <c r="I238" s="161">
        <f t="shared" si="13"/>
        <v>3328.4912939664546</v>
      </c>
    </row>
    <row r="239" spans="2:9">
      <c r="B239" s="135" t="s">
        <v>124</v>
      </c>
      <c r="C239" s="136">
        <f t="shared" si="14"/>
        <v>36</v>
      </c>
      <c r="D239" s="226">
        <f>+D147</f>
        <v>4363.62623649529</v>
      </c>
      <c r="E239" s="136"/>
      <c r="F239" s="136"/>
      <c r="G239" s="160">
        <f>+F43</f>
        <v>2875.7512282479452</v>
      </c>
      <c r="H239" s="160">
        <f>+H43+I43</f>
        <v>230.06009825983557</v>
      </c>
      <c r="I239" s="161">
        <f t="shared" si="13"/>
        <v>3105.8113265077809</v>
      </c>
    </row>
    <row r="240" spans="2:9">
      <c r="B240" s="135" t="s">
        <v>124</v>
      </c>
      <c r="C240" s="136">
        <f t="shared" si="14"/>
        <v>37</v>
      </c>
      <c r="D240" s="226">
        <f>+D148</f>
        <v>4056.8290082465942</v>
      </c>
      <c r="E240" s="136"/>
      <c r="F240" s="136"/>
      <c r="G240" s="160">
        <f>+F44</f>
        <v>2667.5042216430752</v>
      </c>
      <c r="H240" s="160">
        <f>+H44+I44</f>
        <v>213.40033773144592</v>
      </c>
      <c r="I240" s="161">
        <f t="shared" si="13"/>
        <v>2880.9045593745213</v>
      </c>
    </row>
    <row r="241" spans="2:9">
      <c r="B241" s="135" t="s">
        <v>124</v>
      </c>
      <c r="C241" s="136">
        <f t="shared" si="14"/>
        <v>38</v>
      </c>
      <c r="D241" s="226">
        <f>+D149</f>
        <v>3745.4825956237114</v>
      </c>
      <c r="E241" s="136"/>
      <c r="F241" s="136"/>
      <c r="G241" s="160">
        <f>+F45</f>
        <v>2457.1747449721556</v>
      </c>
      <c r="H241" s="160">
        <f>+H45+I45</f>
        <v>196.57397959777242</v>
      </c>
      <c r="I241" s="161">
        <f t="shared" si="13"/>
        <v>2653.7487245699281</v>
      </c>
    </row>
    <row r="242" spans="2:9">
      <c r="B242" s="135" t="s">
        <v>124</v>
      </c>
      <c r="C242" s="136">
        <f t="shared" si="14"/>
        <v>39</v>
      </c>
      <c r="D242" s="226">
        <f>+D150</f>
        <v>3429.5182822509023</v>
      </c>
      <c r="E242" s="136"/>
      <c r="F242" s="136"/>
      <c r="G242" s="160">
        <f>+F46</f>
        <v>2244.741973534527</v>
      </c>
      <c r="H242" s="160">
        <f>+H46+I46</f>
        <v>179.57935788276214</v>
      </c>
      <c r="I242" s="161">
        <f t="shared" si="13"/>
        <v>2424.321331417289</v>
      </c>
    </row>
    <row r="243" spans="2:9" ht="21.75" thickBot="1">
      <c r="B243" s="128" t="s">
        <v>124</v>
      </c>
      <c r="C243" s="129">
        <f t="shared" si="14"/>
        <v>40</v>
      </c>
      <c r="D243" s="231">
        <f>+D151</f>
        <v>3108.8663004417081</v>
      </c>
      <c r="E243" s="129"/>
      <c r="F243" s="129"/>
      <c r="G243" s="162">
        <f>+F47</f>
        <v>2030.1848743825226</v>
      </c>
      <c r="H243" s="162">
        <f>+H47+I47</f>
        <v>162.4147899506018</v>
      </c>
      <c r="I243" s="163">
        <f t="shared" si="13"/>
        <v>2192.5996643331246</v>
      </c>
    </row>
    <row r="244" spans="2:9">
      <c r="B244" s="126" t="s">
        <v>125</v>
      </c>
      <c r="C244" s="127">
        <f t="shared" si="14"/>
        <v>41</v>
      </c>
      <c r="D244" s="228">
        <f>+D152</f>
        <v>2783.4558149762297</v>
      </c>
      <c r="E244" s="127"/>
      <c r="F244" s="127"/>
      <c r="G244" s="158">
        <f>+F48</f>
        <v>1813.4822042389976</v>
      </c>
      <c r="H244" s="158">
        <f>+H48+I48</f>
        <v>145.07857633911979</v>
      </c>
      <c r="I244" s="159">
        <f t="shared" si="13"/>
        <v>1958.5607805781174</v>
      </c>
    </row>
    <row r="245" spans="2:9">
      <c r="B245" s="135" t="s">
        <v>125</v>
      </c>
      <c r="C245" s="136">
        <f t="shared" si="14"/>
        <v>42</v>
      </c>
      <c r="D245" s="226">
        <f>+D153</f>
        <v>2453.2149066266634</v>
      </c>
      <c r="E245" s="136"/>
      <c r="F245" s="136"/>
      <c r="G245" s="160">
        <f>+F49</f>
        <v>1594.6125073940377</v>
      </c>
      <c r="H245" s="160">
        <f>+H49+I49</f>
        <v>127.56900059152302</v>
      </c>
      <c r="I245" s="161">
        <f t="shared" si="13"/>
        <v>1722.1815079855608</v>
      </c>
    </row>
    <row r="246" spans="2:9">
      <c r="B246" s="135" t="s">
        <v>125</v>
      </c>
      <c r="C246" s="136">
        <f t="shared" si="14"/>
        <v>43</v>
      </c>
      <c r="D246" s="226">
        <f>+D154</f>
        <v>2118.0705554271617</v>
      </c>
      <c r="E246" s="136"/>
      <c r="F246" s="136"/>
      <c r="G246" s="160">
        <f>+F50</f>
        <v>1373.5541135806282</v>
      </c>
      <c r="H246" s="160">
        <f>+H50+I50</f>
        <v>109.88432908645024</v>
      </c>
      <c r="I246" s="161">
        <f t="shared" si="13"/>
        <v>1483.4384426670783</v>
      </c>
    </row>
    <row r="247" spans="2:9">
      <c r="B247" s="135" t="s">
        <v>125</v>
      </c>
      <c r="C247" s="136">
        <f t="shared" si="14"/>
        <v>44</v>
      </c>
      <c r="D247" s="226">
        <f>+D155</f>
        <v>1777.9486236840373</v>
      </c>
      <c r="E247" s="136"/>
      <c r="F247" s="136"/>
      <c r="G247" s="160">
        <f>+F51</f>
        <v>1150.2851358290845</v>
      </c>
      <c r="H247" s="160">
        <f>+H51+I51</f>
        <v>92.022810866326765</v>
      </c>
      <c r="I247" s="161">
        <f t="shared" si="13"/>
        <v>1242.3079466954114</v>
      </c>
    </row>
    <row r="248" spans="2:9">
      <c r="B248" s="135" t="s">
        <v>125</v>
      </c>
      <c r="C248" s="136">
        <f t="shared" si="14"/>
        <v>45</v>
      </c>
      <c r="D248" s="226">
        <f>+D156</f>
        <v>1432.7738387222748</v>
      </c>
      <c r="E248" s="136"/>
      <c r="F248" s="136"/>
      <c r="G248" s="160">
        <f>+F52</f>
        <v>924.78346830002545</v>
      </c>
      <c r="H248" s="160">
        <f>+H52+I52</f>
        <v>73.982677464002037</v>
      </c>
      <c r="I248" s="161">
        <f t="shared" si="13"/>
        <v>998.76614576402744</v>
      </c>
    </row>
    <row r="249" spans="2:9">
      <c r="B249" s="135" t="s">
        <v>125</v>
      </c>
      <c r="C249" s="136">
        <f t="shared" si="14"/>
        <v>46</v>
      </c>
      <c r="D249" s="226">
        <f>+D157</f>
        <v>1082.4697753642313</v>
      </c>
      <c r="E249" s="136"/>
      <c r="F249" s="136"/>
      <c r="G249" s="160">
        <f>+F53</f>
        <v>697.02678409567579</v>
      </c>
      <c r="H249" s="160">
        <f>+H53+I53</f>
        <v>55.762142727654066</v>
      </c>
      <c r="I249" s="161">
        <f t="shared" si="13"/>
        <v>752.7889268233298</v>
      </c>
    </row>
    <row r="250" spans="2:9">
      <c r="B250" s="135" t="s">
        <v>125</v>
      </c>
      <c r="C250" s="136">
        <f t="shared" si="14"/>
        <v>47</v>
      </c>
      <c r="D250" s="226">
        <f>+D158</f>
        <v>726.95883813635976</v>
      </c>
      <c r="E250" s="136"/>
      <c r="F250" s="136"/>
      <c r="G250" s="160">
        <f>+F54</f>
        <v>466.99253304928283</v>
      </c>
      <c r="H250" s="160">
        <f>+H54+I54</f>
        <v>37.359402643942616</v>
      </c>
      <c r="I250" s="161">
        <f t="shared" si="13"/>
        <v>504.35193569322541</v>
      </c>
    </row>
    <row r="251" spans="2:9" ht="21.75" thickBot="1">
      <c r="B251" s="128" t="s">
        <v>125</v>
      </c>
      <c r="C251" s="129">
        <f t="shared" si="14"/>
        <v>48</v>
      </c>
      <c r="D251" s="231">
        <f>+D159</f>
        <v>366.16224319971866</v>
      </c>
      <c r="E251" s="129"/>
      <c r="F251" s="129"/>
      <c r="G251" s="162">
        <f>+F55</f>
        <v>234.65793949242564</v>
      </c>
      <c r="H251" s="162">
        <f>+H55+I55</f>
        <v>18.772635159394049</v>
      </c>
      <c r="I251" s="163">
        <f t="shared" si="13"/>
        <v>253.43057465181968</v>
      </c>
    </row>
    <row r="252" spans="2:9" ht="21.75" thickBot="1">
      <c r="D252" s="233">
        <f>SUM(D204:D251)</f>
        <v>346631.42591201921</v>
      </c>
      <c r="G252" s="117"/>
      <c r="H252" s="117"/>
      <c r="I252" s="233">
        <f>SUM(I204:I251)</f>
        <v>346631.42591202207</v>
      </c>
    </row>
    <row r="254" spans="2:9">
      <c r="B254" s="176" t="s">
        <v>157</v>
      </c>
    </row>
    <row r="255" spans="2:9" ht="21.75" thickBot="1">
      <c r="B255" s="164"/>
      <c r="C255" s="164"/>
      <c r="D255" s="169" t="s">
        <v>121</v>
      </c>
      <c r="E255" s="169" t="s">
        <v>122</v>
      </c>
      <c r="F255" s="169" t="s">
        <v>123</v>
      </c>
      <c r="G255" s="169" t="s">
        <v>124</v>
      </c>
      <c r="H255" s="169" t="s">
        <v>125</v>
      </c>
      <c r="I255" s="220" t="s">
        <v>66</v>
      </c>
    </row>
    <row r="256" spans="2:9" ht="21.75" thickBot="1">
      <c r="B256" s="172" t="s">
        <v>109</v>
      </c>
      <c r="C256" s="172"/>
      <c r="D256" s="173">
        <f ca="1">SUMIF($B$204:$I$251,D$255,$D$204:$D$251)</f>
        <v>49687.872616230576</v>
      </c>
      <c r="E256" s="173">
        <f ca="1">SUMIF($B$204:$I$251,E$255,$D$204:$D$251)</f>
        <v>129878.86655211191</v>
      </c>
      <c r="F256" s="173">
        <f ca="1">SUMIF($B$204:$I$251,F$255,$D$204:$D$251)</f>
        <v>96851.775862868541</v>
      </c>
      <c r="G256" s="173">
        <f ca="1">SUMIF($B$204:$I$251,G$255,$D$204:$D$251)</f>
        <v>57471.856284671558</v>
      </c>
      <c r="H256" s="173">
        <f ca="1">SUMIF($B$204:$I$251,H$255,$D$204:$D$251)</f>
        <v>12741.054596136677</v>
      </c>
      <c r="I256" s="234">
        <f ca="1">SUM(D256:H256)</f>
        <v>346631.42591201927</v>
      </c>
    </row>
    <row r="257" spans="2:9" ht="21.75" thickBot="1">
      <c r="B257" s="174" t="s">
        <v>116</v>
      </c>
      <c r="C257" s="174"/>
      <c r="D257" s="175">
        <f ca="1">SUMIF($B$204:$I$251,D$255,$I$204:$I$251)</f>
        <v>127921.04424590599</v>
      </c>
      <c r="E257" s="175">
        <f ca="1">SUMIF($B$204:$I$251,E$255,$I$204:$I$251)</f>
        <v>97628.485185252415</v>
      </c>
      <c r="F257" s="175">
        <f ca="1">SUMIF($B$204:$I$251,F$255,$I$204:$I$251)</f>
        <v>71054.916357516355</v>
      </c>
      <c r="G257" s="175">
        <f ca="1">SUMIF($B$204:$I$251,G$255,$I$204:$I$251)</f>
        <v>41111.153862488682</v>
      </c>
      <c r="H257" s="175">
        <f ca="1">SUMIF($B$204:$I$251,H$255,$I$204:$I$251)</f>
        <v>8915.8262608585701</v>
      </c>
      <c r="I257" s="235">
        <f ca="1">SUM(D257:H257)</f>
        <v>346631.42591202201</v>
      </c>
    </row>
    <row r="258" spans="2:9" ht="21.75" thickBot="1"/>
    <row r="259" spans="2:9">
      <c r="B259" s="126"/>
      <c r="C259" s="127"/>
      <c r="D259" s="127"/>
      <c r="E259" s="236">
        <v>0.3</v>
      </c>
      <c r="F259" s="126"/>
      <c r="G259" s="127"/>
      <c r="H259" s="127"/>
      <c r="I259" s="134"/>
    </row>
    <row r="260" spans="2:9">
      <c r="B260" s="237" t="s">
        <v>121</v>
      </c>
      <c r="C260" s="180"/>
      <c r="D260" s="180" t="s">
        <v>109</v>
      </c>
      <c r="E260" s="180" t="s">
        <v>116</v>
      </c>
      <c r="F260" s="135"/>
      <c r="G260" s="136"/>
      <c r="H260" s="180" t="s">
        <v>52</v>
      </c>
      <c r="I260" s="181" t="s">
        <v>53</v>
      </c>
    </row>
    <row r="261" spans="2:9">
      <c r="B261" s="135" t="s">
        <v>158</v>
      </c>
      <c r="C261" s="136"/>
      <c r="D261" s="238">
        <v>500000</v>
      </c>
      <c r="E261" s="238">
        <v>500000</v>
      </c>
      <c r="F261" s="240" t="s">
        <v>164</v>
      </c>
      <c r="G261" s="239"/>
      <c r="H261" s="239"/>
      <c r="I261" s="191">
        <f ca="1">+H262-I263</f>
        <v>23469.951488902632</v>
      </c>
    </row>
    <row r="262" spans="2:9">
      <c r="B262" s="135" t="s">
        <v>159</v>
      </c>
      <c r="C262" s="136"/>
      <c r="D262" s="184">
        <f ca="1">-D256</f>
        <v>-49687.872616230576</v>
      </c>
      <c r="E262" s="188">
        <f ca="1">-D257</f>
        <v>-127921.04424590599</v>
      </c>
      <c r="F262" s="240" t="s">
        <v>163</v>
      </c>
      <c r="G262" s="136"/>
      <c r="H262" s="190">
        <f ca="1">+D264</f>
        <v>135093.63821513084</v>
      </c>
      <c r="I262" s="137"/>
    </row>
    <row r="263" spans="2:9">
      <c r="B263" s="240" t="s">
        <v>160</v>
      </c>
      <c r="C263" s="239"/>
      <c r="D263" s="190">
        <f ca="1">+D261+D262</f>
        <v>450312.12738376943</v>
      </c>
      <c r="E263" s="190">
        <f ca="1">+E261+E262</f>
        <v>372078.955754094</v>
      </c>
      <c r="F263" s="240" t="s">
        <v>162</v>
      </c>
      <c r="G263" s="239"/>
      <c r="H263" s="239"/>
      <c r="I263" s="191">
        <f ca="1">+E264</f>
        <v>111623.6867262282</v>
      </c>
    </row>
    <row r="264" spans="2:9">
      <c r="B264" s="240" t="s">
        <v>161</v>
      </c>
      <c r="C264" s="136"/>
      <c r="D264" s="184">
        <f ca="1">+D263*E259</f>
        <v>135093.63821513084</v>
      </c>
      <c r="E264" s="188">
        <f ca="1">+E263*E259</f>
        <v>111623.6867262282</v>
      </c>
      <c r="F264" s="135"/>
      <c r="G264" s="136"/>
      <c r="H264" s="136"/>
      <c r="I264" s="137"/>
    </row>
    <row r="265" spans="2:9" ht="21.75" thickBot="1">
      <c r="B265" s="128"/>
      <c r="C265" s="129"/>
      <c r="D265" s="241" t="s">
        <v>118</v>
      </c>
      <c r="E265" s="241" t="s">
        <v>117</v>
      </c>
      <c r="F265" s="128"/>
      <c r="G265" s="129"/>
      <c r="H265" s="129"/>
      <c r="I265" s="130"/>
    </row>
    <row r="266" spans="2:9">
      <c r="B266" s="126"/>
      <c r="C266" s="127"/>
      <c r="D266" s="127"/>
      <c r="E266" s="236">
        <v>0.3</v>
      </c>
      <c r="F266" s="126"/>
      <c r="G266" s="127"/>
      <c r="H266" s="127"/>
      <c r="I266" s="134"/>
    </row>
    <row r="267" spans="2:9">
      <c r="B267" s="237" t="s">
        <v>122</v>
      </c>
      <c r="C267" s="180"/>
      <c r="D267" s="180" t="s">
        <v>109</v>
      </c>
      <c r="E267" s="180" t="s">
        <v>116</v>
      </c>
      <c r="F267" s="135"/>
      <c r="G267" s="136"/>
      <c r="H267" s="180" t="s">
        <v>52</v>
      </c>
      <c r="I267" s="181" t="s">
        <v>53</v>
      </c>
    </row>
    <row r="268" spans="2:9">
      <c r="B268" s="135" t="s">
        <v>158</v>
      </c>
      <c r="C268" s="136"/>
      <c r="D268" s="238">
        <v>500000</v>
      </c>
      <c r="E268" s="238">
        <v>500000</v>
      </c>
      <c r="F268" s="240" t="s">
        <v>164</v>
      </c>
      <c r="G268" s="239"/>
      <c r="H268" s="190">
        <f ca="1">+I270-H269</f>
        <v>9675.1144100578531</v>
      </c>
      <c r="I268" s="191"/>
    </row>
    <row r="269" spans="2:9">
      <c r="B269" s="135" t="s">
        <v>159</v>
      </c>
      <c r="C269" s="136"/>
      <c r="D269" s="184">
        <f ca="1">-E256</f>
        <v>-129878.86655211191</v>
      </c>
      <c r="E269" s="188">
        <f ca="1">-E257</f>
        <v>-97628.485185252415</v>
      </c>
      <c r="F269" s="240" t="s">
        <v>163</v>
      </c>
      <c r="G269" s="136"/>
      <c r="H269" s="190">
        <f ca="1">+D271</f>
        <v>111036.34003436643</v>
      </c>
      <c r="I269" s="137"/>
    </row>
    <row r="270" spans="2:9">
      <c r="B270" s="240" t="s">
        <v>160</v>
      </c>
      <c r="C270" s="239"/>
      <c r="D270" s="190">
        <f ca="1">+D268+D269</f>
        <v>370121.13344788807</v>
      </c>
      <c r="E270" s="190">
        <f ca="1">+E268+E269</f>
        <v>402371.51481474761</v>
      </c>
      <c r="F270" s="240" t="s">
        <v>162</v>
      </c>
      <c r="G270" s="239"/>
      <c r="H270" s="239"/>
      <c r="I270" s="191">
        <f ca="1">+E271</f>
        <v>120711.45444442428</v>
      </c>
    </row>
    <row r="271" spans="2:9">
      <c r="B271" s="240" t="s">
        <v>161</v>
      </c>
      <c r="C271" s="136"/>
      <c r="D271" s="184">
        <f ca="1">+D270*E266</f>
        <v>111036.34003436643</v>
      </c>
      <c r="E271" s="188">
        <f ca="1">+E270*E266</f>
        <v>120711.45444442428</v>
      </c>
      <c r="F271" s="135"/>
      <c r="G271" s="136"/>
      <c r="H271" s="136"/>
      <c r="I271" s="137"/>
    </row>
    <row r="272" spans="2:9" ht="21.75" thickBot="1">
      <c r="B272" s="128"/>
      <c r="C272" s="129"/>
      <c r="D272" s="241" t="s">
        <v>118</v>
      </c>
      <c r="E272" s="241" t="s">
        <v>117</v>
      </c>
      <c r="F272" s="128"/>
      <c r="G272" s="129"/>
      <c r="H272" s="129"/>
      <c r="I272" s="130"/>
    </row>
    <row r="273" spans="2:9">
      <c r="B273" s="126"/>
      <c r="C273" s="127"/>
      <c r="D273" s="127"/>
      <c r="E273" s="236">
        <v>0.3</v>
      </c>
      <c r="F273" s="126"/>
      <c r="G273" s="127"/>
      <c r="H273" s="127"/>
      <c r="I273" s="134"/>
    </row>
    <row r="274" spans="2:9">
      <c r="B274" s="237" t="s">
        <v>123</v>
      </c>
      <c r="C274" s="180"/>
      <c r="D274" s="180" t="s">
        <v>109</v>
      </c>
      <c r="E274" s="180" t="s">
        <v>116</v>
      </c>
      <c r="F274" s="135"/>
      <c r="G274" s="136"/>
      <c r="H274" s="180" t="s">
        <v>52</v>
      </c>
      <c r="I274" s="181" t="s">
        <v>53</v>
      </c>
    </row>
    <row r="275" spans="2:9">
      <c r="B275" s="135" t="s">
        <v>158</v>
      </c>
      <c r="C275" s="136"/>
      <c r="D275" s="238">
        <v>500000</v>
      </c>
      <c r="E275" s="238">
        <v>500000</v>
      </c>
      <c r="F275" s="240" t="s">
        <v>164</v>
      </c>
      <c r="G275" s="239"/>
      <c r="H275" s="190">
        <f ca="1">+I277-H276</f>
        <v>7739.0578516056412</v>
      </c>
      <c r="I275" s="191"/>
    </row>
    <row r="276" spans="2:9">
      <c r="B276" s="135" t="s">
        <v>159</v>
      </c>
      <c r="C276" s="136"/>
      <c r="D276" s="184">
        <f ca="1">-F256</f>
        <v>-96851.775862868541</v>
      </c>
      <c r="E276" s="188">
        <f ca="1">-F257</f>
        <v>-71054.916357516355</v>
      </c>
      <c r="F276" s="240" t="s">
        <v>163</v>
      </c>
      <c r="G276" s="136"/>
      <c r="H276" s="190">
        <f ca="1">+D278</f>
        <v>120944.46724113944</v>
      </c>
      <c r="I276" s="137"/>
    </row>
    <row r="277" spans="2:9">
      <c r="B277" s="240" t="s">
        <v>160</v>
      </c>
      <c r="C277" s="239"/>
      <c r="D277" s="190">
        <f ca="1">+D275+D276</f>
        <v>403148.22413713147</v>
      </c>
      <c r="E277" s="190">
        <f ca="1">+E275+E276</f>
        <v>428945.08364248363</v>
      </c>
      <c r="F277" s="240" t="s">
        <v>162</v>
      </c>
      <c r="G277" s="239"/>
      <c r="H277" s="239"/>
      <c r="I277" s="191">
        <f ca="1">+E278</f>
        <v>128683.52509274508</v>
      </c>
    </row>
    <row r="278" spans="2:9">
      <c r="B278" s="240" t="s">
        <v>161</v>
      </c>
      <c r="C278" s="136"/>
      <c r="D278" s="184">
        <f ca="1">+D277*E273</f>
        <v>120944.46724113944</v>
      </c>
      <c r="E278" s="188">
        <f ca="1">+E277*E273</f>
        <v>128683.52509274508</v>
      </c>
      <c r="F278" s="135"/>
      <c r="G278" s="136"/>
      <c r="H278" s="136"/>
      <c r="I278" s="137"/>
    </row>
    <row r="279" spans="2:9" ht="21.75" thickBot="1">
      <c r="B279" s="128"/>
      <c r="C279" s="129"/>
      <c r="D279" s="241" t="s">
        <v>118</v>
      </c>
      <c r="E279" s="241" t="s">
        <v>117</v>
      </c>
      <c r="F279" s="128"/>
      <c r="G279" s="129"/>
      <c r="H279" s="129"/>
      <c r="I279" s="130"/>
    </row>
    <row r="280" spans="2:9">
      <c r="B280" s="126"/>
      <c r="C280" s="127"/>
      <c r="D280" s="127"/>
      <c r="E280" s="236">
        <v>0.3</v>
      </c>
      <c r="F280" s="126"/>
      <c r="G280" s="127"/>
      <c r="H280" s="127"/>
      <c r="I280" s="134"/>
    </row>
    <row r="281" spans="2:9">
      <c r="B281" s="237" t="s">
        <v>124</v>
      </c>
      <c r="C281" s="180"/>
      <c r="D281" s="180" t="s">
        <v>109</v>
      </c>
      <c r="E281" s="180" t="s">
        <v>116</v>
      </c>
      <c r="F281" s="135"/>
      <c r="G281" s="136"/>
      <c r="H281" s="180" t="s">
        <v>52</v>
      </c>
      <c r="I281" s="181" t="s">
        <v>53</v>
      </c>
    </row>
    <row r="282" spans="2:9">
      <c r="B282" s="135" t="s">
        <v>158</v>
      </c>
      <c r="C282" s="136"/>
      <c r="D282" s="238">
        <v>500000</v>
      </c>
      <c r="E282" s="238">
        <v>500000</v>
      </c>
      <c r="F282" s="240" t="s">
        <v>164</v>
      </c>
      <c r="G282" s="239"/>
      <c r="H282" s="190">
        <f ca="1">+I284-H283</f>
        <v>4908.2107266548846</v>
      </c>
      <c r="I282" s="191"/>
    </row>
    <row r="283" spans="2:9">
      <c r="B283" s="135" t="s">
        <v>159</v>
      </c>
      <c r="C283" s="136"/>
      <c r="D283" s="184">
        <f ca="1">-G256</f>
        <v>-57471.856284671558</v>
      </c>
      <c r="E283" s="188">
        <f ca="1">-G257</f>
        <v>-41111.153862488682</v>
      </c>
      <c r="F283" s="240" t="s">
        <v>163</v>
      </c>
      <c r="G283" s="136"/>
      <c r="H283" s="190">
        <f ca="1">+D285</f>
        <v>132758.44311459851</v>
      </c>
      <c r="I283" s="137"/>
    </row>
    <row r="284" spans="2:9">
      <c r="B284" s="240" t="s">
        <v>160</v>
      </c>
      <c r="C284" s="239"/>
      <c r="D284" s="190">
        <f ca="1">+D282+D283</f>
        <v>442528.14371532842</v>
      </c>
      <c r="E284" s="190">
        <f ca="1">+E282+E283</f>
        <v>458888.84613751131</v>
      </c>
      <c r="F284" s="240" t="s">
        <v>162</v>
      </c>
      <c r="G284" s="239"/>
      <c r="H284" s="239"/>
      <c r="I284" s="191">
        <f ca="1">+E285</f>
        <v>137666.6538412534</v>
      </c>
    </row>
    <row r="285" spans="2:9">
      <c r="B285" s="240" t="s">
        <v>161</v>
      </c>
      <c r="C285" s="136"/>
      <c r="D285" s="184">
        <f ca="1">+D284*E280</f>
        <v>132758.44311459851</v>
      </c>
      <c r="E285" s="188">
        <f ca="1">+E284*E280</f>
        <v>137666.6538412534</v>
      </c>
      <c r="F285" s="135"/>
      <c r="G285" s="136"/>
      <c r="H285" s="136"/>
      <c r="I285" s="137"/>
    </row>
    <row r="286" spans="2:9" ht="21.75" thickBot="1">
      <c r="B286" s="128"/>
      <c r="C286" s="129"/>
      <c r="D286" s="241" t="s">
        <v>118</v>
      </c>
      <c r="E286" s="241" t="s">
        <v>117</v>
      </c>
      <c r="F286" s="128"/>
      <c r="G286" s="129"/>
      <c r="H286" s="129"/>
      <c r="I286" s="130"/>
    </row>
    <row r="287" spans="2:9">
      <c r="B287" s="126"/>
      <c r="C287" s="127"/>
      <c r="D287" s="127"/>
      <c r="E287" s="236">
        <v>0.3</v>
      </c>
      <c r="F287" s="126"/>
      <c r="G287" s="127"/>
      <c r="H287" s="127"/>
      <c r="I287" s="134"/>
    </row>
    <row r="288" spans="2:9">
      <c r="B288" s="237" t="s">
        <v>125</v>
      </c>
      <c r="C288" s="180"/>
      <c r="D288" s="180" t="s">
        <v>109</v>
      </c>
      <c r="E288" s="180" t="s">
        <v>116</v>
      </c>
      <c r="F288" s="135"/>
      <c r="G288" s="136"/>
      <c r="H288" s="180" t="s">
        <v>52</v>
      </c>
      <c r="I288" s="181" t="s">
        <v>53</v>
      </c>
    </row>
    <row r="289" spans="1:9">
      <c r="B289" s="135" t="s">
        <v>158</v>
      </c>
      <c r="C289" s="136"/>
      <c r="D289" s="238">
        <v>500000</v>
      </c>
      <c r="E289" s="238">
        <v>500000</v>
      </c>
      <c r="F289" s="240" t="s">
        <v>164</v>
      </c>
      <c r="G289" s="239"/>
      <c r="H289" s="190">
        <f ca="1">+I291-H290</f>
        <v>1147.5685005834384</v>
      </c>
      <c r="I289" s="191"/>
    </row>
    <row r="290" spans="1:9">
      <c r="B290" s="135" t="s">
        <v>159</v>
      </c>
      <c r="C290" s="136"/>
      <c r="D290" s="184">
        <f ca="1">-H256</f>
        <v>-12741.054596136677</v>
      </c>
      <c r="E290" s="188">
        <f ca="1">-H257</f>
        <v>-8915.8262608585701</v>
      </c>
      <c r="F290" s="240" t="s">
        <v>163</v>
      </c>
      <c r="G290" s="136"/>
      <c r="H290" s="190">
        <f ca="1">+D292</f>
        <v>146177.683621159</v>
      </c>
      <c r="I290" s="137"/>
    </row>
    <row r="291" spans="1:9">
      <c r="B291" s="240" t="s">
        <v>160</v>
      </c>
      <c r="C291" s="239"/>
      <c r="D291" s="190">
        <f ca="1">+D289+D290</f>
        <v>487258.94540386333</v>
      </c>
      <c r="E291" s="190">
        <f ca="1">+E289+E290</f>
        <v>491084.17373914144</v>
      </c>
      <c r="F291" s="240" t="s">
        <v>162</v>
      </c>
      <c r="G291" s="239"/>
      <c r="H291" s="239"/>
      <c r="I291" s="191">
        <f ca="1">+E292</f>
        <v>147325.25212174244</v>
      </c>
    </row>
    <row r="292" spans="1:9">
      <c r="B292" s="240" t="s">
        <v>161</v>
      </c>
      <c r="C292" s="136"/>
      <c r="D292" s="184">
        <f ca="1">+D291*E287</f>
        <v>146177.683621159</v>
      </c>
      <c r="E292" s="188">
        <f ca="1">+E291*E287</f>
        <v>147325.25212174244</v>
      </c>
      <c r="F292" s="135"/>
      <c r="G292" s="136"/>
      <c r="H292" s="136"/>
      <c r="I292" s="137"/>
    </row>
    <row r="293" spans="1:9" ht="21.75" thickBot="1">
      <c r="B293" s="128"/>
      <c r="C293" s="129"/>
      <c r="D293" s="241" t="s">
        <v>118</v>
      </c>
      <c r="E293" s="241" t="s">
        <v>117</v>
      </c>
      <c r="F293" s="128"/>
      <c r="G293" s="129"/>
      <c r="H293" s="129"/>
      <c r="I293" s="130"/>
    </row>
    <row r="294" spans="1:9" ht="21.75" thickBot="1">
      <c r="F294" s="242" t="s">
        <v>164</v>
      </c>
      <c r="G294" s="243"/>
      <c r="H294" s="244">
        <f ca="1">+H261+H268+H275+H282+H289</f>
        <v>23469.951488901817</v>
      </c>
      <c r="I294" s="245">
        <f ca="1">+I261+I268+I275+I282+I289</f>
        <v>23469.951488902632</v>
      </c>
    </row>
    <row r="295" spans="1:9">
      <c r="D295" s="117"/>
      <c r="E295" s="117"/>
      <c r="F295" s="117"/>
      <c r="G295" s="117"/>
      <c r="H295" s="117"/>
    </row>
    <row r="296" spans="1:9">
      <c r="B296" s="108" t="s">
        <v>127</v>
      </c>
      <c r="D296" s="117"/>
      <c r="E296" s="117"/>
      <c r="F296" s="117"/>
      <c r="G296" s="117"/>
      <c r="H296" s="117"/>
    </row>
    <row r="297" spans="1:9">
      <c r="B297" s="218"/>
      <c r="C297" s="219"/>
      <c r="D297" s="263" t="s">
        <v>121</v>
      </c>
      <c r="E297" s="263" t="s">
        <v>122</v>
      </c>
      <c r="F297" s="263" t="s">
        <v>123</v>
      </c>
      <c r="G297" s="263" t="s">
        <v>124</v>
      </c>
      <c r="H297" s="263" t="s">
        <v>125</v>
      </c>
    </row>
    <row r="298" spans="1:9">
      <c r="B298" s="104" t="s">
        <v>128</v>
      </c>
      <c r="D298" s="117">
        <v>500000</v>
      </c>
      <c r="E298" s="117">
        <v>500000</v>
      </c>
      <c r="F298" s="117">
        <v>500000</v>
      </c>
      <c r="G298" s="117">
        <v>500000</v>
      </c>
      <c r="H298" s="117">
        <v>500000</v>
      </c>
    </row>
    <row r="299" spans="1:9">
      <c r="B299" s="104" t="s">
        <v>129</v>
      </c>
      <c r="D299" s="117">
        <v>-100000</v>
      </c>
      <c r="E299" s="117">
        <v>-100000</v>
      </c>
      <c r="F299" s="117">
        <v>-100000</v>
      </c>
      <c r="G299" s="117">
        <v>-100000</v>
      </c>
      <c r="H299" s="117">
        <v>-100000</v>
      </c>
    </row>
    <row r="300" spans="1:9">
      <c r="B300" s="104" t="s">
        <v>130</v>
      </c>
      <c r="D300" s="117">
        <v>-12000</v>
      </c>
      <c r="E300" s="117">
        <v>-12000</v>
      </c>
      <c r="F300" s="117">
        <v>-12000</v>
      </c>
      <c r="G300" s="117">
        <v>-12000</v>
      </c>
      <c r="H300" s="117">
        <v>-12000</v>
      </c>
    </row>
    <row r="301" spans="1:9">
      <c r="B301" s="104" t="s">
        <v>131</v>
      </c>
      <c r="D301" s="117">
        <v>-18000</v>
      </c>
      <c r="E301" s="117">
        <v>-18000</v>
      </c>
      <c r="F301" s="117">
        <v>-18000</v>
      </c>
      <c r="G301" s="117">
        <v>-18000</v>
      </c>
      <c r="H301" s="117">
        <v>-18000</v>
      </c>
    </row>
    <row r="302" spans="1:9">
      <c r="B302" s="104" t="s">
        <v>132</v>
      </c>
      <c r="D302" s="117">
        <f ca="1">-+D256</f>
        <v>-49687.872616230576</v>
      </c>
      <c r="E302" s="117">
        <f ca="1">-+E256</f>
        <v>-129878.86655211191</v>
      </c>
      <c r="F302" s="117">
        <f ca="1">-+F256</f>
        <v>-96851.775862868541</v>
      </c>
      <c r="G302" s="117">
        <f ca="1">-+G256</f>
        <v>-57471.856284671558</v>
      </c>
      <c r="H302" s="117">
        <f ca="1">-+H256</f>
        <v>-12741.054596136677</v>
      </c>
    </row>
    <row r="303" spans="1:9">
      <c r="A303" s="264">
        <v>1</v>
      </c>
      <c r="B303" s="261" t="s">
        <v>133</v>
      </c>
      <c r="C303" s="261"/>
      <c r="D303" s="262">
        <f ca="1">SUM(D298:D302)</f>
        <v>320312.12738376943</v>
      </c>
      <c r="E303" s="262">
        <f t="shared" ref="E303:H303" ca="1" si="15">SUM(E298:E302)</f>
        <v>240121.13344788807</v>
      </c>
      <c r="F303" s="262">
        <f t="shared" ca="1" si="15"/>
        <v>273148.22413713147</v>
      </c>
      <c r="G303" s="262">
        <f t="shared" ca="1" si="15"/>
        <v>312528.14371532842</v>
      </c>
      <c r="H303" s="262">
        <f t="shared" ca="1" si="15"/>
        <v>357258.94540386333</v>
      </c>
    </row>
    <row r="304" spans="1:9">
      <c r="A304" s="264">
        <v>0.3</v>
      </c>
      <c r="B304" s="108" t="s">
        <v>134</v>
      </c>
    </row>
    <row r="305" spans="1:8">
      <c r="B305" s="174" t="s">
        <v>135</v>
      </c>
      <c r="C305" s="174"/>
      <c r="D305" s="175">
        <f ca="1">+D326</f>
        <v>-72623.686726228203</v>
      </c>
      <c r="E305" s="175">
        <f t="shared" ref="E305:H305" ca="1" si="16">+E326</f>
        <v>-81711.454444424278</v>
      </c>
      <c r="F305" s="175">
        <f t="shared" ca="1" si="16"/>
        <v>-89683.525092745083</v>
      </c>
      <c r="G305" s="175">
        <f t="shared" ca="1" si="16"/>
        <v>-98666.653841253385</v>
      </c>
      <c r="H305" s="175">
        <f t="shared" ca="1" si="16"/>
        <v>-108325.25212174242</v>
      </c>
    </row>
    <row r="306" spans="1:8">
      <c r="B306" s="108" t="s">
        <v>136</v>
      </c>
      <c r="D306" s="267">
        <f ca="1">-I261</f>
        <v>-23469.951488902632</v>
      </c>
      <c r="E306" s="267">
        <f ca="1">+H268</f>
        <v>9675.1144100578531</v>
      </c>
      <c r="F306" s="267">
        <f ca="1">+H275</f>
        <v>7739.0578516056412</v>
      </c>
      <c r="G306" s="267">
        <f ca="1">+H282</f>
        <v>4908.2107266548846</v>
      </c>
      <c r="H306" s="267">
        <f ca="1">+H289</f>
        <v>1147.5685005834384</v>
      </c>
    </row>
    <row r="307" spans="1:8">
      <c r="A307" s="264">
        <v>0.7</v>
      </c>
      <c r="B307" s="261" t="s">
        <v>137</v>
      </c>
      <c r="C307" s="261"/>
      <c r="D307" s="262">
        <f ca="1">SUM(D303:D306)</f>
        <v>224218.4891686386</v>
      </c>
      <c r="E307" s="262">
        <f t="shared" ref="E307:H307" ca="1" si="17">SUM(E303:E306)</f>
        <v>168084.79341352166</v>
      </c>
      <c r="F307" s="262">
        <f t="shared" ca="1" si="17"/>
        <v>191203.75689599203</v>
      </c>
      <c r="G307" s="262">
        <f t="shared" ca="1" si="17"/>
        <v>218769.70060072994</v>
      </c>
      <c r="H307" s="262">
        <f t="shared" ca="1" si="17"/>
        <v>250081.26178270436</v>
      </c>
    </row>
    <row r="308" spans="1:8" ht="21.75" thickBot="1"/>
    <row r="309" spans="1:8" ht="21.75" thickBot="1">
      <c r="B309" s="265" t="s">
        <v>165</v>
      </c>
      <c r="C309" s="266"/>
      <c r="D309" s="268">
        <f ca="1">+D307/D303</f>
        <v>0.7</v>
      </c>
      <c r="E309" s="268">
        <f t="shared" ref="E309:H311" ca="1" si="18">+E307/E303</f>
        <v>0.70000000000000007</v>
      </c>
      <c r="F309" s="268">
        <f t="shared" ca="1" si="18"/>
        <v>0.7</v>
      </c>
      <c r="G309" s="268">
        <f t="shared" ca="1" si="18"/>
        <v>0.70000000000000018</v>
      </c>
      <c r="H309" s="269">
        <f t="shared" ca="1" si="18"/>
        <v>0.70000000000000007</v>
      </c>
    </row>
    <row r="310" spans="1:8" ht="21.75" thickBot="1">
      <c r="D310" s="107"/>
      <c r="E310" s="107"/>
      <c r="F310" s="107"/>
      <c r="G310" s="107"/>
      <c r="H310" s="107"/>
    </row>
    <row r="311" spans="1:8" ht="21.75" thickBot="1">
      <c r="B311" s="265" t="s">
        <v>166</v>
      </c>
      <c r="C311" s="266"/>
      <c r="D311" s="268">
        <f ca="1">-(D305+D306)/D303</f>
        <v>0.30000000000000004</v>
      </c>
      <c r="E311" s="268">
        <f t="shared" ref="E311:H311" ca="1" si="19">-(E305+E306)/E303</f>
        <v>0.3</v>
      </c>
      <c r="F311" s="268">
        <f t="shared" ca="1" si="19"/>
        <v>0.3</v>
      </c>
      <c r="G311" s="268">
        <f t="shared" ca="1" si="19"/>
        <v>0.29999999999999993</v>
      </c>
      <c r="H311" s="268">
        <f t="shared" ca="1" si="19"/>
        <v>0.29999999999999993</v>
      </c>
    </row>
    <row r="314" spans="1:8" ht="21.75" thickBot="1"/>
    <row r="315" spans="1:8">
      <c r="B315" s="246" t="s">
        <v>138</v>
      </c>
      <c r="C315" s="247"/>
      <c r="D315" s="248">
        <f ca="1">+D303</f>
        <v>320312.12738376943</v>
      </c>
      <c r="E315" s="248">
        <f t="shared" ref="E315:H315" ca="1" si="20">+E303</f>
        <v>240121.13344788807</v>
      </c>
      <c r="F315" s="248">
        <f t="shared" ca="1" si="20"/>
        <v>273148.22413713147</v>
      </c>
      <c r="G315" s="248">
        <f t="shared" ca="1" si="20"/>
        <v>312528.14371532842</v>
      </c>
      <c r="H315" s="249">
        <f t="shared" ca="1" si="20"/>
        <v>357258.94540386333</v>
      </c>
    </row>
    <row r="316" spans="1:8">
      <c r="B316" s="250"/>
      <c r="C316" s="251"/>
      <c r="D316" s="251"/>
      <c r="E316" s="251"/>
      <c r="F316" s="251"/>
      <c r="G316" s="251"/>
      <c r="H316" s="252"/>
    </row>
    <row r="317" spans="1:8">
      <c r="B317" s="250" t="s">
        <v>139</v>
      </c>
      <c r="C317" s="251"/>
      <c r="D317" s="251"/>
      <c r="E317" s="251"/>
      <c r="F317" s="251"/>
      <c r="G317" s="251"/>
      <c r="H317" s="252"/>
    </row>
    <row r="318" spans="1:8">
      <c r="B318" s="250" t="s">
        <v>109</v>
      </c>
      <c r="C318" s="251"/>
      <c r="D318" s="253">
        <f ca="1">+D256</f>
        <v>49687.872616230576</v>
      </c>
      <c r="E318" s="253">
        <f ca="1">+E256</f>
        <v>129878.86655211191</v>
      </c>
      <c r="F318" s="253">
        <f ca="1">+F256</f>
        <v>96851.775862868541</v>
      </c>
      <c r="G318" s="253">
        <f ca="1">+G256</f>
        <v>57471.856284671558</v>
      </c>
      <c r="H318" s="254">
        <f ca="1">+H256</f>
        <v>12741.054596136677</v>
      </c>
    </row>
    <row r="319" spans="1:8">
      <c r="B319" s="250"/>
      <c r="C319" s="251"/>
      <c r="D319" s="251"/>
      <c r="E319" s="251"/>
      <c r="F319" s="251"/>
      <c r="G319" s="251"/>
      <c r="H319" s="252"/>
    </row>
    <row r="320" spans="1:8">
      <c r="B320" s="250" t="s">
        <v>140</v>
      </c>
      <c r="C320" s="251"/>
      <c r="D320" s="251"/>
      <c r="E320" s="251"/>
      <c r="F320" s="251"/>
      <c r="G320" s="251"/>
      <c r="H320" s="252"/>
    </row>
    <row r="321" spans="2:8">
      <c r="B321" s="250" t="s">
        <v>116</v>
      </c>
      <c r="C321" s="251"/>
      <c r="D321" s="253">
        <f ca="1">-D257</f>
        <v>-127921.04424590599</v>
      </c>
      <c r="E321" s="253">
        <f ca="1">-E257</f>
        <v>-97628.485185252415</v>
      </c>
      <c r="F321" s="253">
        <f ca="1">-F257</f>
        <v>-71054.916357516355</v>
      </c>
      <c r="G321" s="253">
        <f ca="1">-G257</f>
        <v>-41111.153862488682</v>
      </c>
      <c r="H321" s="254">
        <f ca="1">-H257</f>
        <v>-8915.8262608585701</v>
      </c>
    </row>
    <row r="322" spans="2:8">
      <c r="B322" s="250"/>
      <c r="C322" s="251"/>
      <c r="D322" s="251"/>
      <c r="E322" s="251"/>
      <c r="F322" s="251"/>
      <c r="G322" s="251"/>
      <c r="H322" s="252"/>
    </row>
    <row r="323" spans="2:8" ht="21.75" thickBot="1">
      <c r="B323" s="255" t="s">
        <v>141</v>
      </c>
      <c r="C323" s="256"/>
      <c r="D323" s="257">
        <f ca="1">SUM(D315:D322)</f>
        <v>242078.955754094</v>
      </c>
      <c r="E323" s="257">
        <f t="shared" ref="E323:H323" ca="1" si="21">SUM(E315:E322)</f>
        <v>272371.51481474761</v>
      </c>
      <c r="F323" s="257">
        <f t="shared" ca="1" si="21"/>
        <v>298945.08364248363</v>
      </c>
      <c r="G323" s="257">
        <f t="shared" ca="1" si="21"/>
        <v>328888.84613751131</v>
      </c>
      <c r="H323" s="258">
        <f t="shared" ca="1" si="21"/>
        <v>361084.17373914144</v>
      </c>
    </row>
    <row r="324" spans="2:8">
      <c r="B324" s="171">
        <v>0.3</v>
      </c>
    </row>
    <row r="325" spans="2:8">
      <c r="B325" s="259" t="s">
        <v>142</v>
      </c>
      <c r="C325" s="259"/>
      <c r="D325" s="259"/>
      <c r="E325" s="259"/>
      <c r="F325" s="259"/>
      <c r="G325" s="259"/>
      <c r="H325" s="259"/>
    </row>
    <row r="326" spans="2:8">
      <c r="B326" s="259" t="s">
        <v>143</v>
      </c>
      <c r="C326" s="259"/>
      <c r="D326" s="260">
        <f ca="1">-D323*$B$324</f>
        <v>-72623.686726228203</v>
      </c>
      <c r="E326" s="260">
        <f t="shared" ref="E326:H326" ca="1" si="22">-E323*$B$324</f>
        <v>-81711.454444424278</v>
      </c>
      <c r="F326" s="260">
        <f t="shared" ca="1" si="22"/>
        <v>-89683.525092745083</v>
      </c>
      <c r="G326" s="260">
        <f t="shared" ca="1" si="22"/>
        <v>-98666.653841253385</v>
      </c>
      <c r="H326" s="260">
        <f t="shared" ca="1" si="22"/>
        <v>-108325.25212174242</v>
      </c>
    </row>
    <row r="331" spans="2:8" ht="21.75" thickBot="1"/>
    <row r="332" spans="2:8">
      <c r="B332" s="177" t="s">
        <v>144</v>
      </c>
      <c r="C332" s="127"/>
      <c r="D332" s="127"/>
      <c r="E332" s="127"/>
      <c r="F332" s="127"/>
      <c r="G332" s="127"/>
      <c r="H332" s="134"/>
    </row>
    <row r="333" spans="2:8">
      <c r="B333" s="178" t="s">
        <v>145</v>
      </c>
      <c r="C333" s="179"/>
      <c r="D333" s="180" t="s">
        <v>121</v>
      </c>
      <c r="E333" s="180" t="s">
        <v>122</v>
      </c>
      <c r="F333" s="180" t="s">
        <v>123</v>
      </c>
      <c r="G333" s="180" t="s">
        <v>124</v>
      </c>
      <c r="H333" s="181" t="s">
        <v>125</v>
      </c>
    </row>
    <row r="334" spans="2:8">
      <c r="B334" s="182" t="s">
        <v>119</v>
      </c>
      <c r="C334" s="183"/>
      <c r="D334" s="184">
        <f>+F115</f>
        <v>762077.09882085316</v>
      </c>
      <c r="E334" s="184">
        <f>+F127</f>
        <v>600318.80306479323</v>
      </c>
      <c r="F334" s="184">
        <f>+F139</f>
        <v>407501.82912524813</v>
      </c>
      <c r="G334" s="184">
        <f>+F151</f>
        <v>177522.99208861918</v>
      </c>
      <c r="H334" s="185">
        <f>+F159</f>
        <v>-2.4811015464365482E-9</v>
      </c>
    </row>
    <row r="335" spans="2:8">
      <c r="B335" s="186" t="s">
        <v>120</v>
      </c>
      <c r="C335" s="187"/>
      <c r="D335" s="188">
        <f>SUM(E12:E55)</f>
        <v>840310.27045052825</v>
      </c>
      <c r="E335" s="188">
        <f>SUM(E24:E55)</f>
        <v>646301.59332760901</v>
      </c>
      <c r="F335" s="188">
        <f>SUM(E36:E55)</f>
        <v>427687.75988271157</v>
      </c>
      <c r="G335" s="188">
        <f>SUM(E48:E55)</f>
        <v>181348.22042389974</v>
      </c>
      <c r="H335" s="189">
        <v>0</v>
      </c>
    </row>
    <row r="336" spans="2:8">
      <c r="B336" s="135"/>
      <c r="C336" s="136"/>
      <c r="D336" s="190">
        <f>+D335-D334</f>
        <v>78233.171629675082</v>
      </c>
      <c r="E336" s="190">
        <f t="shared" ref="E336:H336" si="23">+E335-E334</f>
        <v>45982.790262815775</v>
      </c>
      <c r="F336" s="190">
        <f t="shared" si="23"/>
        <v>20185.930757463444</v>
      </c>
      <c r="G336" s="190">
        <f t="shared" si="23"/>
        <v>3825.2283352805534</v>
      </c>
      <c r="H336" s="191">
        <f t="shared" si="23"/>
        <v>2.4811015464365482E-9</v>
      </c>
    </row>
    <row r="337" spans="2:8">
      <c r="B337" s="135"/>
      <c r="C337" s="136"/>
      <c r="D337" s="192">
        <f>+D336*0.3</f>
        <v>23469.951488902523</v>
      </c>
      <c r="E337" s="192">
        <f t="shared" ref="E337:H337" si="24">+E336*0.3</f>
        <v>13794.837078844732</v>
      </c>
      <c r="F337" s="192">
        <f t="shared" si="24"/>
        <v>6055.7792272390334</v>
      </c>
      <c r="G337" s="192">
        <f t="shared" si="24"/>
        <v>1147.568500584166</v>
      </c>
      <c r="H337" s="193">
        <f t="shared" si="24"/>
        <v>7.4433046393096445E-10</v>
      </c>
    </row>
    <row r="338" spans="2:8" ht="21.75" thickBot="1">
      <c r="B338" s="128"/>
      <c r="C338" s="129"/>
      <c r="D338" s="129"/>
      <c r="E338" s="129"/>
      <c r="F338" s="129"/>
      <c r="G338" s="129"/>
      <c r="H338" s="130"/>
    </row>
    <row r="339" spans="2:8">
      <c r="D339" s="153"/>
      <c r="E339" s="153"/>
      <c r="F339" s="153"/>
      <c r="G339" s="153"/>
      <c r="H339" s="153"/>
    </row>
    <row r="342" spans="2:8">
      <c r="D342" s="106"/>
    </row>
    <row r="343" spans="2:8">
      <c r="D343" s="106"/>
    </row>
    <row r="344" spans="2:8">
      <c r="D344" s="106"/>
    </row>
    <row r="345" spans="2:8">
      <c r="D345" s="106"/>
    </row>
  </sheetData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06B5-854F-4CA9-B2FC-39AFE6DF369E}">
  <dimension ref="A1"/>
  <sheetViews>
    <sheetView tabSelected="1" zoomScale="145" zoomScaleNormal="145" workbookViewId="0">
      <selection activeCell="B3" sqref="B3"/>
    </sheetView>
  </sheetViews>
  <sheetFormatPr baseColWidth="10" defaultRowHeight="14.25"/>
  <cols>
    <col min="1" max="16384" width="11" style="27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2025-08-05T20:55:48Z</dcterms:created>
  <dcterms:modified xsi:type="dcterms:W3CDTF">2025-08-08T04:52:24Z</dcterms:modified>
</cp:coreProperties>
</file>