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27A21C8-6069-42FE-908F-E693266EDBBE}" xr6:coauthVersionLast="47" xr6:coauthVersionMax="47" xr10:uidLastSave="{00000000-0000-0000-0000-000000000000}"/>
  <bookViews>
    <workbookView xWindow="-120" yWindow="-120" windowWidth="29040" windowHeight="15720" xr2:uid="{BBE268E0-8E33-42A4-81DD-561F9202CB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4" i="1"/>
  <c r="C32" i="1"/>
  <c r="T37" i="1"/>
  <c r="T36" i="1"/>
  <c r="T35" i="1"/>
  <c r="H53" i="1"/>
  <c r="H55" i="1" s="1"/>
  <c r="H54" i="1"/>
  <c r="H49" i="1"/>
  <c r="H48" i="1"/>
  <c r="H47" i="1"/>
  <c r="Y37" i="1"/>
  <c r="Z38" i="1"/>
  <c r="Y34" i="1"/>
  <c r="Z35" i="1" s="1"/>
  <c r="Z32" i="1"/>
  <c r="Z42" i="1" s="1"/>
  <c r="Z43" i="1" s="1"/>
  <c r="Z44" i="1" s="1"/>
  <c r="Y31" i="1"/>
  <c r="O31" i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L30" i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J27" i="1"/>
  <c r="J42" i="1" s="1"/>
  <c r="M29" i="1" s="1"/>
  <c r="C34" i="1"/>
  <c r="B34" i="1"/>
  <c r="A35" i="1"/>
  <c r="D30" i="1"/>
  <c r="P30" i="1" l="1"/>
  <c r="B35" i="1"/>
  <c r="C35" i="1"/>
  <c r="D35" i="1" s="1"/>
  <c r="A36" i="1"/>
  <c r="D34" i="1"/>
  <c r="J43" i="1" l="1"/>
  <c r="M30" i="1" s="1"/>
  <c r="B36" i="1"/>
  <c r="C36" i="1"/>
  <c r="A37" i="1"/>
  <c r="B37" i="1" l="1"/>
  <c r="A38" i="1"/>
  <c r="C37" i="1"/>
  <c r="D36" i="1"/>
  <c r="R30" i="1"/>
  <c r="M31" i="1"/>
  <c r="A39" i="1" l="1"/>
  <c r="C38" i="1"/>
  <c r="B38" i="1"/>
  <c r="D38" i="1" s="1"/>
  <c r="R31" i="1"/>
  <c r="M32" i="1"/>
  <c r="D37" i="1"/>
  <c r="R32" i="1" l="1"/>
  <c r="M33" i="1"/>
  <c r="A40" i="1"/>
  <c r="B39" i="1"/>
  <c r="C39" i="1"/>
  <c r="D39" i="1" s="1"/>
  <c r="A41" i="1" l="1"/>
  <c r="B40" i="1"/>
  <c r="C40" i="1"/>
  <c r="D40" i="1" s="1"/>
  <c r="R33" i="1"/>
  <c r="M34" i="1"/>
  <c r="R34" i="1" l="1"/>
  <c r="M35" i="1"/>
  <c r="A42" i="1"/>
  <c r="B41" i="1"/>
  <c r="C41" i="1"/>
  <c r="D41" i="1" l="1"/>
  <c r="A43" i="1"/>
  <c r="C42" i="1"/>
  <c r="B42" i="1"/>
  <c r="D42" i="1" s="1"/>
  <c r="R35" i="1"/>
  <c r="M36" i="1"/>
  <c r="R36" i="1" l="1"/>
  <c r="M37" i="1"/>
  <c r="A44" i="1"/>
  <c r="B43" i="1"/>
  <c r="C43" i="1"/>
  <c r="D43" i="1" l="1"/>
  <c r="A45" i="1"/>
  <c r="B44" i="1"/>
  <c r="C44" i="1"/>
  <c r="M38" i="1"/>
  <c r="R37" i="1"/>
  <c r="R38" i="1" l="1"/>
  <c r="M39" i="1"/>
  <c r="D44" i="1"/>
  <c r="A46" i="1"/>
  <c r="B45" i="1"/>
  <c r="D45" i="1" s="1"/>
  <c r="C45" i="1"/>
  <c r="R39" i="1" l="1"/>
  <c r="M40" i="1"/>
  <c r="A47" i="1"/>
  <c r="B46" i="1"/>
  <c r="C46" i="1"/>
  <c r="D46" i="1" l="1"/>
  <c r="A48" i="1"/>
  <c r="B47" i="1"/>
  <c r="C47" i="1"/>
  <c r="M41" i="1"/>
  <c r="R40" i="1"/>
  <c r="M42" i="1" l="1"/>
  <c r="R41" i="1"/>
  <c r="D47" i="1"/>
  <c r="A49" i="1"/>
  <c r="C48" i="1"/>
  <c r="B48" i="1"/>
  <c r="D48" i="1" s="1"/>
  <c r="A50" i="1" l="1"/>
  <c r="B49" i="1"/>
  <c r="C49" i="1"/>
  <c r="R42" i="1"/>
  <c r="M43" i="1"/>
  <c r="R43" i="1" l="1"/>
  <c r="M44" i="1"/>
  <c r="D49" i="1"/>
  <c r="A51" i="1"/>
  <c r="B50" i="1"/>
  <c r="C50" i="1"/>
  <c r="D50" i="1" l="1"/>
  <c r="R44" i="1"/>
  <c r="M45" i="1"/>
  <c r="A52" i="1"/>
  <c r="B51" i="1"/>
  <c r="C51" i="1"/>
  <c r="D51" i="1" l="1"/>
  <c r="A53" i="1"/>
  <c r="B52" i="1"/>
  <c r="C52" i="1"/>
  <c r="R45" i="1"/>
  <c r="M46" i="1"/>
  <c r="R46" i="1" l="1"/>
  <c r="M47" i="1"/>
  <c r="D52" i="1"/>
  <c r="A54" i="1"/>
  <c r="B53" i="1"/>
  <c r="C53" i="1"/>
  <c r="D53" i="1" l="1"/>
  <c r="A55" i="1"/>
  <c r="C54" i="1"/>
  <c r="B54" i="1"/>
  <c r="D54" i="1" s="1"/>
  <c r="R47" i="1"/>
  <c r="M48" i="1"/>
  <c r="R48" i="1" l="1"/>
  <c r="M49" i="1"/>
  <c r="A56" i="1"/>
  <c r="B55" i="1"/>
  <c r="C55" i="1"/>
  <c r="D55" i="1" l="1"/>
  <c r="A57" i="1"/>
  <c r="C56" i="1"/>
  <c r="B56" i="1"/>
  <c r="D56" i="1" s="1"/>
  <c r="M50" i="1"/>
  <c r="R49" i="1"/>
  <c r="M51" i="1" l="1"/>
  <c r="R50" i="1"/>
  <c r="A58" i="1"/>
  <c r="B57" i="1"/>
  <c r="C57" i="1"/>
  <c r="D57" i="1" l="1"/>
  <c r="A59" i="1"/>
  <c r="B58" i="1"/>
  <c r="C58" i="1"/>
  <c r="M52" i="1"/>
  <c r="R51" i="1"/>
  <c r="D58" i="1" l="1"/>
  <c r="A60" i="1"/>
  <c r="B59" i="1"/>
  <c r="C59" i="1"/>
  <c r="M53" i="1"/>
  <c r="R52" i="1"/>
  <c r="M54" i="1" l="1"/>
  <c r="R53" i="1"/>
  <c r="D59" i="1"/>
  <c r="A61" i="1"/>
  <c r="C60" i="1"/>
  <c r="B60" i="1"/>
  <c r="D60" i="1" l="1"/>
  <c r="A62" i="1"/>
  <c r="C61" i="1"/>
  <c r="B61" i="1"/>
  <c r="D61" i="1" s="1"/>
  <c r="M55" i="1"/>
  <c r="R54" i="1"/>
  <c r="M56" i="1" l="1"/>
  <c r="R55" i="1"/>
  <c r="C62" i="1"/>
  <c r="A63" i="1"/>
  <c r="B62" i="1"/>
  <c r="D62" i="1" s="1"/>
  <c r="A64" i="1" l="1"/>
  <c r="C63" i="1"/>
  <c r="B63" i="1"/>
  <c r="M57" i="1"/>
  <c r="R56" i="1"/>
  <c r="M58" i="1" l="1"/>
  <c r="R57" i="1"/>
  <c r="D63" i="1"/>
  <c r="A65" i="1"/>
  <c r="B64" i="1"/>
  <c r="C64" i="1"/>
  <c r="D64" i="1" l="1"/>
  <c r="A66" i="1"/>
  <c r="B65" i="1"/>
  <c r="C65" i="1"/>
  <c r="M59" i="1"/>
  <c r="R58" i="1"/>
  <c r="M60" i="1" l="1"/>
  <c r="R59" i="1"/>
  <c r="D65" i="1"/>
  <c r="A67" i="1"/>
  <c r="B66" i="1"/>
  <c r="C66" i="1"/>
  <c r="D66" i="1" l="1"/>
  <c r="A68" i="1"/>
  <c r="B67" i="1"/>
  <c r="C67" i="1"/>
  <c r="D67" i="1" s="1"/>
  <c r="M61" i="1"/>
  <c r="R60" i="1"/>
  <c r="M62" i="1" l="1"/>
  <c r="R61" i="1"/>
  <c r="A69" i="1"/>
  <c r="C68" i="1"/>
  <c r="B68" i="1"/>
  <c r="D68" i="1" s="1"/>
  <c r="C69" i="1" l="1"/>
  <c r="C70" i="1" s="1"/>
  <c r="B69" i="1"/>
  <c r="M63" i="1"/>
  <c r="R62" i="1"/>
  <c r="M64" i="1" l="1"/>
  <c r="R63" i="1"/>
  <c r="D69" i="1"/>
  <c r="D70" i="1" s="1"/>
  <c r="B70" i="1"/>
  <c r="M65" i="1" l="1"/>
  <c r="R64" i="1"/>
  <c r="R65" i="1" l="1"/>
  <c r="M28" i="1"/>
  <c r="Q30" i="1" s="1"/>
  <c r="S30" i="1" s="1"/>
  <c r="P31" i="1" s="1"/>
  <c r="S31" i="1" l="1"/>
  <c r="P32" i="1" s="1"/>
  <c r="Q31" i="1"/>
  <c r="Q32" i="1" l="1"/>
  <c r="S32" i="1" s="1"/>
  <c r="P33" i="1" s="1"/>
  <c r="Q33" i="1" l="1"/>
  <c r="S33" i="1"/>
  <c r="P34" i="1" s="1"/>
  <c r="Q34" i="1" l="1"/>
  <c r="S34" i="1"/>
  <c r="P35" i="1" s="1"/>
  <c r="Q35" i="1" l="1"/>
  <c r="S35" i="1" s="1"/>
  <c r="P36" i="1" s="1"/>
  <c r="Q36" i="1" s="1"/>
  <c r="S36" i="1" s="1"/>
  <c r="P37" i="1" s="1"/>
  <c r="Q37" i="1" l="1"/>
  <c r="S37" i="1" s="1"/>
  <c r="P38" i="1" s="1"/>
  <c r="Q38" i="1" l="1"/>
  <c r="S38" i="1"/>
  <c r="P39" i="1" s="1"/>
  <c r="Q39" i="1" s="1"/>
  <c r="S39" i="1" s="1"/>
  <c r="P40" i="1" s="1"/>
  <c r="Q40" i="1" l="1"/>
  <c r="S40" i="1" s="1"/>
  <c r="P41" i="1" s="1"/>
  <c r="Q41" i="1" l="1"/>
  <c r="S41" i="1"/>
  <c r="P42" i="1" s="1"/>
  <c r="Q42" i="1" l="1"/>
  <c r="S42" i="1"/>
  <c r="P43" i="1" s="1"/>
  <c r="Q43" i="1" l="1"/>
  <c r="S43" i="1"/>
  <c r="P44" i="1" s="1"/>
  <c r="Q44" i="1" s="1"/>
  <c r="S44" i="1" s="1"/>
  <c r="P45" i="1" s="1"/>
  <c r="Q45" i="1" s="1"/>
  <c r="S45" i="1" s="1"/>
  <c r="P46" i="1" s="1"/>
  <c r="Q46" i="1" s="1"/>
  <c r="S46" i="1" s="1"/>
  <c r="P47" i="1" s="1"/>
  <c r="Q47" i="1" l="1"/>
  <c r="S47" i="1"/>
  <c r="P48" i="1" s="1"/>
  <c r="Q48" i="1" s="1"/>
  <c r="S48" i="1" s="1"/>
  <c r="P49" i="1" s="1"/>
  <c r="Q49" i="1" l="1"/>
  <c r="S49" i="1" s="1"/>
  <c r="P50" i="1" s="1"/>
  <c r="Q50" i="1" l="1"/>
  <c r="S50" i="1"/>
  <c r="P51" i="1" s="1"/>
  <c r="Q51" i="1" l="1"/>
  <c r="S51" i="1" s="1"/>
  <c r="P52" i="1" s="1"/>
  <c r="Q52" i="1" l="1"/>
  <c r="S52" i="1" s="1"/>
  <c r="P53" i="1" s="1"/>
  <c r="Q53" i="1" s="1"/>
  <c r="S53" i="1" s="1"/>
  <c r="P54" i="1" s="1"/>
  <c r="Q54" i="1" s="1"/>
  <c r="S54" i="1" s="1"/>
  <c r="P55" i="1" s="1"/>
  <c r="Q55" i="1" l="1"/>
  <c r="S55" i="1" s="1"/>
  <c r="P56" i="1" s="1"/>
  <c r="Q56" i="1" l="1"/>
  <c r="S56" i="1" s="1"/>
  <c r="P57" i="1" s="1"/>
  <c r="Q57" i="1" l="1"/>
  <c r="S57" i="1" s="1"/>
  <c r="P58" i="1" s="1"/>
  <c r="Q58" i="1" l="1"/>
  <c r="S58" i="1" s="1"/>
  <c r="P59" i="1" s="1"/>
  <c r="Q59" i="1" l="1"/>
  <c r="S59" i="1"/>
  <c r="P60" i="1" s="1"/>
  <c r="Q60" i="1" l="1"/>
  <c r="S60" i="1"/>
  <c r="P61" i="1" s="1"/>
  <c r="Q61" i="1" l="1"/>
  <c r="S61" i="1"/>
  <c r="P62" i="1" s="1"/>
  <c r="Q62" i="1" l="1"/>
  <c r="S62" i="1" s="1"/>
  <c r="P63" i="1" s="1"/>
  <c r="Q63" i="1" l="1"/>
  <c r="S63" i="1" s="1"/>
  <c r="P64" i="1" s="1"/>
  <c r="Q64" i="1" s="1"/>
  <c r="S64" i="1" s="1"/>
  <c r="P65" i="1" s="1"/>
  <c r="Q65" i="1" l="1"/>
  <c r="S65" i="1"/>
</calcChain>
</file>

<file path=xl/sharedStrings.xml><?xml version="1.0" encoding="utf-8"?>
<sst xmlns="http://schemas.openxmlformats.org/spreadsheetml/2006/main" count="96" uniqueCount="84">
  <si>
    <t>NIC 1</t>
  </si>
  <si>
    <t>para presentar el corto y largo plazo</t>
  </si>
  <si>
    <t>NIC 2</t>
  </si>
  <si>
    <t>en caso de compras de inventario a largo plazo</t>
  </si>
  <si>
    <t>NIC 7</t>
  </si>
  <si>
    <t>para presentar el flujo de efectivo de pago de intereses</t>
  </si>
  <si>
    <t>para presentar el flujo de efectivo de pago de principal</t>
  </si>
  <si>
    <t>NIC 12</t>
  </si>
  <si>
    <t>para medir las diferencias temporarias de los préstamos</t>
  </si>
  <si>
    <t>NIC 16</t>
  </si>
  <si>
    <t>para medir las provisiones por retiro que son parte del costo</t>
  </si>
  <si>
    <t>NIC 19</t>
  </si>
  <si>
    <t>para medir los pasivos laborales de largo plazo</t>
  </si>
  <si>
    <t>NIC 20</t>
  </si>
  <si>
    <t>para medir el beneficio de un préstamo con subsidio</t>
  </si>
  <si>
    <t>NIC 23</t>
  </si>
  <si>
    <t>para medir la parte de la diferencia de cambio que es costo financiero</t>
  </si>
  <si>
    <t>para medir el costo financiero que se debe capitalizar</t>
  </si>
  <si>
    <t>NIC 32</t>
  </si>
  <si>
    <t>para medir el costo financiero de la emisión de bonos</t>
  </si>
  <si>
    <t>NIIF 2</t>
  </si>
  <si>
    <t>para medir los pasivos por pagos basados en acciones que se liquidan en efectivo</t>
  </si>
  <si>
    <t>NIIF 7</t>
  </si>
  <si>
    <t>para hacer revelaciones sobre escenarios de sensibilidad en instrumentos financieros</t>
  </si>
  <si>
    <t>NIIF 9</t>
  </si>
  <si>
    <t>para medir los activos financieros al costo amortizado</t>
  </si>
  <si>
    <t>para medir los pasivos financieros al costo amortizado</t>
  </si>
  <si>
    <t>NIIF 13</t>
  </si>
  <si>
    <t>para calcular diversos modelos de valor razonable</t>
  </si>
  <si>
    <t>NIIF 15</t>
  </si>
  <si>
    <t>en caso de ventas de inventario a largo plazo</t>
  </si>
  <si>
    <t>NIIF 16</t>
  </si>
  <si>
    <t>para medir los pasivos por arrendamiento</t>
  </si>
  <si>
    <t>NIIF 18</t>
  </si>
  <si>
    <t>PRESTAMO</t>
  </si>
  <si>
    <t>TASA</t>
  </si>
  <si>
    <t>PLAZO</t>
  </si>
  <si>
    <t>PAGO</t>
  </si>
  <si>
    <t>COMISION</t>
  </si>
  <si>
    <t>CONTRATO (FORMA)</t>
  </si>
  <si>
    <t>Principal</t>
  </si>
  <si>
    <t>Interes</t>
  </si>
  <si>
    <t>Cuota</t>
  </si>
  <si>
    <t>EL CONTABLE RECIBE:</t>
  </si>
  <si>
    <t>EL MONTO DE LA TRANSFERENCIA</t>
  </si>
  <si>
    <t>EL CALENDARIO DE PAGOS</t>
  </si>
  <si>
    <t>DESDE LA ESQUINA DE LA VERDAD</t>
  </si>
  <si>
    <t>CUANTO ES EL MONTO DEL PRÉSTAMO?</t>
  </si>
  <si>
    <t>A) 10M</t>
  </si>
  <si>
    <t>B) 9  M</t>
  </si>
  <si>
    <t>DESDE LA TRINCHEAR DEL CONTADOR</t>
  </si>
  <si>
    <t>VEREDICTO: LA TRANSACCION</t>
  </si>
  <si>
    <t>EL BANCO NOS DIO</t>
  </si>
  <si>
    <t>A CAMBIO LE DAREMOS 36 PAGOS DE</t>
  </si>
  <si>
    <t>CALCULAR EL VERDADERO COSTO DEL PRESTAMO</t>
  </si>
  <si>
    <t>TIR</t>
  </si>
  <si>
    <t>SI</t>
  </si>
  <si>
    <t>CF</t>
  </si>
  <si>
    <t>SF</t>
  </si>
  <si>
    <t>Julio</t>
  </si>
  <si>
    <t>Agosto</t>
  </si>
  <si>
    <t>Septiem</t>
  </si>
  <si>
    <t>Octubre</t>
  </si>
  <si>
    <t>Noviem</t>
  </si>
  <si>
    <t>Diciemb</t>
  </si>
  <si>
    <t>D</t>
  </si>
  <si>
    <t>H</t>
  </si>
  <si>
    <t>t=0</t>
  </si>
  <si>
    <t>Efectivo</t>
  </si>
  <si>
    <t>Prestamo por pagar</t>
  </si>
  <si>
    <t>t=1-6</t>
  </si>
  <si>
    <t>Gasto financiero</t>
  </si>
  <si>
    <t>EL COSTO AMORTIZADO</t>
  </si>
  <si>
    <t>Asi lo dicen los reigstros contables</t>
  </si>
  <si>
    <t>Asi lo dicen el costo amortizado</t>
  </si>
  <si>
    <t>Asi lo dice el valor presente (mat fin)</t>
  </si>
  <si>
    <t>version de la gerencia financiera</t>
  </si>
  <si>
    <t>HE CONSEGUIDO</t>
  </si>
  <si>
    <t>VAMOS A PAGAR</t>
  </si>
  <si>
    <t>version deL CONTABLE</t>
  </si>
  <si>
    <t>CP</t>
  </si>
  <si>
    <t>LP</t>
  </si>
  <si>
    <t>www.faslatamniif.com</t>
  </si>
  <si>
    <t>DIPLOMATURA NIIF + PRACTICA + UTIL INICIA: 05 MARZO (+51 959818593)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</si>
</sst>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0">
    <font>
      <sz val="11"/>
      <color theme="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5"/>
      <color rgb="FFFF0000"/>
      <name val="Aptos Narrow"/>
      <family val="2"/>
      <scheme val="minor"/>
    </font>
    <font>
      <sz val="15"/>
      <color theme="0"/>
      <name val="Aptos Narrow"/>
      <family val="2"/>
      <scheme val="minor"/>
    </font>
    <font>
      <b/>
      <sz val="28"/>
      <color theme="0"/>
      <name val="Aptos Narrow"/>
      <family val="2"/>
      <scheme val="minor"/>
    </font>
    <font>
      <b/>
      <sz val="15"/>
      <color rgb="FFFF0000"/>
      <name val="Aptos Narrow"/>
      <family val="2"/>
      <scheme val="minor"/>
    </font>
    <font>
      <b/>
      <u/>
      <sz val="36"/>
      <color theme="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3" fillId="5" borderId="0" xfId="0" applyFont="1" applyFill="1"/>
    <xf numFmtId="3" fontId="3" fillId="0" borderId="0" xfId="0" applyNumberFormat="1" applyFont="1"/>
    <xf numFmtId="3" fontId="3" fillId="7" borderId="0" xfId="0" applyNumberFormat="1" applyFont="1" applyFill="1"/>
    <xf numFmtId="0" fontId="2" fillId="0" borderId="0" xfId="0" applyFont="1" applyAlignment="1">
      <alignment horizontal="center"/>
    </xf>
    <xf numFmtId="3" fontId="2" fillId="7" borderId="1" xfId="0" applyNumberFormat="1" applyFont="1" applyFill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3" fontId="3" fillId="8" borderId="7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6" borderId="3" xfId="0" applyFont="1" applyFill="1" applyBorder="1"/>
    <xf numFmtId="0" fontId="6" fillId="6" borderId="4" xfId="0" applyFont="1" applyFill="1" applyBorder="1"/>
    <xf numFmtId="0" fontId="6" fillId="6" borderId="5" xfId="0" applyFont="1" applyFill="1" applyBorder="1"/>
    <xf numFmtId="0" fontId="3" fillId="8" borderId="6" xfId="0" applyFont="1" applyFill="1" applyBorder="1"/>
    <xf numFmtId="0" fontId="3" fillId="8" borderId="0" xfId="0" applyFont="1" applyFill="1" applyBorder="1"/>
    <xf numFmtId="0" fontId="3" fillId="8" borderId="7" xfId="0" applyFont="1" applyFill="1" applyBorder="1"/>
    <xf numFmtId="3" fontId="3" fillId="7" borderId="7" xfId="0" applyNumberFormat="1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10" fontId="5" fillId="8" borderId="10" xfId="0" applyNumberFormat="1" applyFont="1" applyFill="1" applyBorder="1"/>
    <xf numFmtId="0" fontId="2" fillId="9" borderId="3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3" fillId="9" borderId="6" xfId="0" applyFont="1" applyFill="1" applyBorder="1"/>
    <xf numFmtId="0" fontId="3" fillId="9" borderId="0" xfId="0" applyFont="1" applyFill="1" applyBorder="1"/>
    <xf numFmtId="0" fontId="3" fillId="9" borderId="8" xfId="0" applyFont="1" applyFill="1" applyBorder="1"/>
    <xf numFmtId="0" fontId="3" fillId="9" borderId="9" xfId="0" applyFont="1" applyFill="1" applyBorder="1"/>
    <xf numFmtId="0" fontId="3" fillId="9" borderId="7" xfId="0" applyFont="1" applyFill="1" applyBorder="1"/>
    <xf numFmtId="0" fontId="3" fillId="9" borderId="10" xfId="0" applyFont="1" applyFill="1" applyBorder="1"/>
    <xf numFmtId="0" fontId="2" fillId="5" borderId="0" xfId="0" applyFont="1" applyFill="1"/>
    <xf numFmtId="3" fontId="3" fillId="9" borderId="7" xfId="0" applyNumberFormat="1" applyFont="1" applyFill="1" applyBorder="1"/>
    <xf numFmtId="0" fontId="3" fillId="10" borderId="3" xfId="0" applyFont="1" applyFill="1" applyBorder="1"/>
    <xf numFmtId="0" fontId="3" fillId="10" borderId="4" xfId="0" applyFont="1" applyFill="1" applyBorder="1"/>
    <xf numFmtId="0" fontId="3" fillId="10" borderId="5" xfId="0" applyFont="1" applyFill="1" applyBorder="1"/>
    <xf numFmtId="0" fontId="3" fillId="10" borderId="6" xfId="0" applyFont="1" applyFill="1" applyBorder="1"/>
    <xf numFmtId="0" fontId="3" fillId="10" borderId="0" xfId="0" applyFont="1" applyFill="1" applyBorder="1"/>
    <xf numFmtId="0" fontId="3" fillId="10" borderId="7" xfId="0" applyFont="1" applyFill="1" applyBorder="1"/>
    <xf numFmtId="0" fontId="3" fillId="10" borderId="8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3" fillId="0" borderId="3" xfId="0" applyFont="1" applyBorder="1"/>
    <xf numFmtId="0" fontId="3" fillId="11" borderId="4" xfId="0" applyFont="1" applyFill="1" applyBorder="1"/>
    <xf numFmtId="0" fontId="3" fillId="11" borderId="5" xfId="0" applyFont="1" applyFill="1" applyBorder="1"/>
    <xf numFmtId="0" fontId="3" fillId="11" borderId="6" xfId="0" applyFont="1" applyFill="1" applyBorder="1"/>
    <xf numFmtId="0" fontId="3" fillId="11" borderId="0" xfId="0" applyFont="1" applyFill="1" applyBorder="1"/>
    <xf numFmtId="0" fontId="3" fillId="11" borderId="7" xfId="0" applyFont="1" applyFill="1" applyBorder="1"/>
    <xf numFmtId="0" fontId="2" fillId="11" borderId="3" xfId="0" applyFont="1" applyFill="1" applyBorder="1"/>
    <xf numFmtId="0" fontId="2" fillId="11" borderId="6" xfId="0" applyFont="1" applyFill="1" applyBorder="1"/>
    <xf numFmtId="0" fontId="2" fillId="11" borderId="0" xfId="0" applyFont="1" applyFill="1" applyBorder="1"/>
    <xf numFmtId="3" fontId="2" fillId="11" borderId="7" xfId="0" applyNumberFormat="1" applyFont="1" applyFill="1" applyBorder="1"/>
    <xf numFmtId="0" fontId="2" fillId="11" borderId="8" xfId="0" applyFont="1" applyFill="1" applyBorder="1"/>
    <xf numFmtId="0" fontId="2" fillId="11" borderId="9" xfId="0" applyFont="1" applyFill="1" applyBorder="1"/>
    <xf numFmtId="3" fontId="2" fillId="11" borderId="10" xfId="0" applyNumberFormat="1" applyFont="1" applyFill="1" applyBorder="1"/>
    <xf numFmtId="0" fontId="2" fillId="11" borderId="11" xfId="0" applyFont="1" applyFill="1" applyBorder="1" applyAlignment="1">
      <alignment horizontal="center"/>
    </xf>
    <xf numFmtId="164" fontId="2" fillId="11" borderId="12" xfId="0" applyNumberFormat="1" applyFont="1" applyFill="1" applyBorder="1"/>
    <xf numFmtId="10" fontId="2" fillId="11" borderId="7" xfId="0" applyNumberFormat="1" applyFont="1" applyFill="1" applyBorder="1"/>
    <xf numFmtId="0" fontId="2" fillId="11" borderId="2" xfId="0" applyFont="1" applyFill="1" applyBorder="1" applyAlignment="1">
      <alignment horizontal="center"/>
    </xf>
    <xf numFmtId="3" fontId="5" fillId="0" borderId="0" xfId="0" applyNumberFormat="1" applyFont="1"/>
    <xf numFmtId="3" fontId="3" fillId="10" borderId="4" xfId="0" applyNumberFormat="1" applyFont="1" applyFill="1" applyBorder="1"/>
    <xf numFmtId="3" fontId="5" fillId="10" borderId="4" xfId="0" applyNumberFormat="1" applyFont="1" applyFill="1" applyBorder="1"/>
    <xf numFmtId="3" fontId="3" fillId="10" borderId="5" xfId="0" applyNumberFormat="1" applyFont="1" applyFill="1" applyBorder="1"/>
    <xf numFmtId="3" fontId="3" fillId="10" borderId="0" xfId="0" applyNumberFormat="1" applyFont="1" applyFill="1" applyBorder="1"/>
    <xf numFmtId="3" fontId="5" fillId="10" borderId="0" xfId="0" applyNumberFormat="1" applyFont="1" applyFill="1" applyBorder="1"/>
    <xf numFmtId="3" fontId="3" fillId="10" borderId="7" xfId="0" applyNumberFormat="1" applyFont="1" applyFill="1" applyBorder="1"/>
    <xf numFmtId="3" fontId="3" fillId="10" borderId="9" xfId="0" applyNumberFormat="1" applyFont="1" applyFill="1" applyBorder="1"/>
    <xf numFmtId="3" fontId="5" fillId="10" borderId="9" xfId="0" applyNumberFormat="1" applyFont="1" applyFill="1" applyBorder="1"/>
    <xf numFmtId="0" fontId="2" fillId="0" borderId="6" xfId="0" applyFont="1" applyBorder="1"/>
    <xf numFmtId="0" fontId="2" fillId="0" borderId="8" xfId="0" applyFont="1" applyBorder="1"/>
    <xf numFmtId="0" fontId="3" fillId="12" borderId="0" xfId="0" applyFont="1" applyFill="1"/>
    <xf numFmtId="3" fontId="3" fillId="12" borderId="0" xfId="0" applyNumberFormat="1" applyFont="1" applyFill="1"/>
    <xf numFmtId="3" fontId="3" fillId="13" borderId="2" xfId="0" applyNumberFormat="1" applyFont="1" applyFill="1" applyBorder="1"/>
    <xf numFmtId="0" fontId="7" fillId="2" borderId="0" xfId="0" applyFont="1" applyFill="1"/>
    <xf numFmtId="3" fontId="2" fillId="13" borderId="2" xfId="0" applyNumberFormat="1" applyFont="1" applyFill="1" applyBorder="1"/>
    <xf numFmtId="3" fontId="3" fillId="13" borderId="4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3" borderId="6" xfId="0" applyFont="1" applyFill="1" applyBorder="1"/>
    <xf numFmtId="0" fontId="3" fillId="3" borderId="0" xfId="0" applyFont="1" applyFill="1" applyBorder="1"/>
    <xf numFmtId="3" fontId="3" fillId="3" borderId="7" xfId="0" applyNumberFormat="1" applyFont="1" applyFill="1" applyBorder="1"/>
    <xf numFmtId="3" fontId="2" fillId="0" borderId="10" xfId="0" applyNumberFormat="1" applyFont="1" applyBorder="1"/>
    <xf numFmtId="0" fontId="2" fillId="14" borderId="11" xfId="0" applyFont="1" applyFill="1" applyBorder="1" applyAlignment="1">
      <alignment horizontal="center"/>
    </xf>
    <xf numFmtId="3" fontId="8" fillId="0" borderId="0" xfId="0" applyNumberFormat="1" applyFont="1"/>
    <xf numFmtId="3" fontId="2" fillId="13" borderId="0" xfId="0" applyNumberFormat="1" applyFont="1" applyFill="1"/>
    <xf numFmtId="0" fontId="3" fillId="15" borderId="0" xfId="0" applyFont="1" applyFill="1"/>
    <xf numFmtId="0" fontId="9" fillId="15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aslatamniif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F3E1-90A3-466F-B5AB-106B29D08447}">
  <dimension ref="A1:Z70"/>
  <sheetViews>
    <sheetView tabSelected="1" workbookViewId="0">
      <pane ySplit="4" topLeftCell="A24" activePane="bottomLeft" state="frozen"/>
      <selection pane="bottomLeft" activeCell="A2" sqref="A2"/>
    </sheetView>
  </sheetViews>
  <sheetFormatPr baseColWidth="10" defaultRowHeight="18.75"/>
  <cols>
    <col min="1" max="1" width="13.5" style="3" bestFit="1" customWidth="1"/>
    <col min="2" max="4" width="12.375" style="3" bestFit="1" customWidth="1"/>
    <col min="5" max="5" width="3.125" style="3" customWidth="1"/>
    <col min="6" max="7" width="11" style="3"/>
    <col min="8" max="8" width="12.375" style="3" bestFit="1" customWidth="1"/>
    <col min="9" max="10" width="11" style="3"/>
    <col min="11" max="11" width="3.5" style="3" customWidth="1"/>
    <col min="12" max="12" width="5.875" style="3" customWidth="1"/>
    <col min="13" max="14" width="11" style="3"/>
    <col min="15" max="15" width="3.625" style="3" bestFit="1" customWidth="1"/>
    <col min="16" max="19" width="11" style="3"/>
    <col min="20" max="20" width="13.125" style="3" customWidth="1"/>
    <col min="21" max="16384" width="11" style="3"/>
  </cols>
  <sheetData>
    <row r="1" spans="1:17" s="1" customFormat="1" ht="35.25">
      <c r="A1" s="84" t="s">
        <v>83</v>
      </c>
    </row>
    <row r="2" spans="1:17" s="96" customFormat="1" ht="45">
      <c r="A2" s="97" t="s">
        <v>82</v>
      </c>
    </row>
    <row r="3" spans="1:17" s="5" customFormat="1" ht="19.5">
      <c r="A3" s="4"/>
    </row>
    <row r="4" spans="1:17" s="7" customFormat="1" ht="19.5">
      <c r="A4" s="6"/>
      <c r="Q4" s="95">
        <f>SUM(Q6:Q10)</f>
        <v>0</v>
      </c>
    </row>
    <row r="5" spans="1:17" s="8" customFormat="1">
      <c r="A5" s="8" t="s">
        <v>0</v>
      </c>
      <c r="B5" s="8" t="s">
        <v>1</v>
      </c>
    </row>
    <row r="6" spans="1:17" s="8" customFormat="1">
      <c r="A6" s="8" t="s">
        <v>2</v>
      </c>
      <c r="B6" s="8" t="s">
        <v>3</v>
      </c>
    </row>
    <row r="7" spans="1:17" s="8" customFormat="1" ht="19.5">
      <c r="A7" s="42" t="s">
        <v>4</v>
      </c>
      <c r="B7" s="42" t="s">
        <v>5</v>
      </c>
    </row>
    <row r="8" spans="1:17" s="8" customFormat="1" ht="19.5">
      <c r="A8" s="42" t="s">
        <v>4</v>
      </c>
      <c r="B8" s="42" t="s">
        <v>6</v>
      </c>
    </row>
    <row r="9" spans="1:17" s="8" customFormat="1" ht="19.5">
      <c r="A9" s="42" t="s">
        <v>7</v>
      </c>
      <c r="B9" s="42" t="s">
        <v>8</v>
      </c>
    </row>
    <row r="10" spans="1:17" s="8" customFormat="1">
      <c r="A10" s="8" t="s">
        <v>9</v>
      </c>
      <c r="B10" s="8" t="s">
        <v>10</v>
      </c>
    </row>
    <row r="11" spans="1:17" s="8" customFormat="1">
      <c r="A11" s="8" t="s">
        <v>11</v>
      </c>
      <c r="B11" s="8" t="s">
        <v>12</v>
      </c>
    </row>
    <row r="12" spans="1:17" s="8" customFormat="1">
      <c r="A12" s="8" t="s">
        <v>13</v>
      </c>
      <c r="B12" s="8" t="s">
        <v>14</v>
      </c>
    </row>
    <row r="13" spans="1:17" s="8" customFormat="1" ht="19.5">
      <c r="A13" s="42" t="s">
        <v>15</v>
      </c>
      <c r="B13" s="42" t="s">
        <v>16</v>
      </c>
    </row>
    <row r="14" spans="1:17" s="8" customFormat="1" ht="19.5">
      <c r="A14" s="42" t="s">
        <v>15</v>
      </c>
      <c r="B14" s="42" t="s">
        <v>17</v>
      </c>
    </row>
    <row r="15" spans="1:17" s="8" customFormat="1">
      <c r="A15" s="8" t="s">
        <v>18</v>
      </c>
      <c r="B15" s="8" t="s">
        <v>19</v>
      </c>
    </row>
    <row r="16" spans="1:17" s="8" customFormat="1">
      <c r="A16" s="8" t="s">
        <v>20</v>
      </c>
      <c r="B16" s="8" t="s">
        <v>21</v>
      </c>
    </row>
    <row r="17" spans="1:26" s="8" customFormat="1">
      <c r="A17" s="8" t="s">
        <v>22</v>
      </c>
      <c r="B17" s="8" t="s">
        <v>23</v>
      </c>
    </row>
    <row r="18" spans="1:26" s="8" customFormat="1" ht="19.5">
      <c r="A18" s="42" t="s">
        <v>24</v>
      </c>
      <c r="B18" s="42" t="s">
        <v>25</v>
      </c>
    </row>
    <row r="19" spans="1:26" s="8" customFormat="1" ht="19.5">
      <c r="A19" s="42" t="s">
        <v>24</v>
      </c>
      <c r="B19" s="42" t="s">
        <v>26</v>
      </c>
    </row>
    <row r="20" spans="1:26" s="8" customFormat="1">
      <c r="A20" s="8" t="s">
        <v>27</v>
      </c>
      <c r="B20" s="8" t="s">
        <v>28</v>
      </c>
    </row>
    <row r="21" spans="1:26" s="8" customFormat="1">
      <c r="A21" s="8" t="s">
        <v>29</v>
      </c>
      <c r="B21" s="8" t="s">
        <v>30</v>
      </c>
    </row>
    <row r="22" spans="1:26" s="8" customFormat="1">
      <c r="A22" s="8" t="s">
        <v>31</v>
      </c>
      <c r="B22" s="8" t="s">
        <v>32</v>
      </c>
    </row>
    <row r="23" spans="1:26" s="8" customFormat="1" ht="19.5">
      <c r="A23" s="42" t="s">
        <v>33</v>
      </c>
      <c r="B23" s="42" t="s">
        <v>1</v>
      </c>
    </row>
    <row r="25" spans="1:26" ht="19.5" thickBot="1"/>
    <row r="26" spans="1:26" ht="19.5">
      <c r="A26" s="23" t="s">
        <v>39</v>
      </c>
      <c r="B26" s="24"/>
      <c r="C26" s="24"/>
      <c r="D26" s="25"/>
      <c r="F26" s="33" t="s">
        <v>43</v>
      </c>
      <c r="G26" s="34"/>
      <c r="H26" s="34"/>
      <c r="I26" s="34"/>
      <c r="J26" s="35"/>
      <c r="L26" s="2" t="s">
        <v>54</v>
      </c>
    </row>
    <row r="27" spans="1:26" ht="20.25" thickBot="1">
      <c r="A27" s="26" t="s">
        <v>34</v>
      </c>
      <c r="B27" s="27"/>
      <c r="C27" s="27"/>
      <c r="D27" s="43">
        <v>10000000</v>
      </c>
      <c r="F27" s="36" t="s">
        <v>44</v>
      </c>
      <c r="G27" s="37"/>
      <c r="H27" s="37"/>
      <c r="I27" s="37"/>
      <c r="J27" s="18">
        <f>D27*(1-D31)</f>
        <v>9000000</v>
      </c>
      <c r="Q27" s="95">
        <f>SUM(Q30:Q35)</f>
        <v>4837848.2360072136</v>
      </c>
    </row>
    <row r="28" spans="1:26" ht="20.25" thickBot="1">
      <c r="A28" s="26" t="s">
        <v>35</v>
      </c>
      <c r="B28" s="27"/>
      <c r="C28" s="27"/>
      <c r="D28" s="68">
        <v>0.08</v>
      </c>
      <c r="F28" s="36" t="s">
        <v>45</v>
      </c>
      <c r="G28" s="37"/>
      <c r="H28" s="37"/>
      <c r="I28" s="37"/>
      <c r="J28" s="40"/>
      <c r="L28" s="93" t="s">
        <v>55</v>
      </c>
      <c r="M28" s="67">
        <f>IRR(M29:M65)</f>
        <v>9.0657226097975441E-2</v>
      </c>
      <c r="P28" s="2" t="s">
        <v>72</v>
      </c>
    </row>
    <row r="29" spans="1:26" ht="20.25" thickBot="1">
      <c r="A29" s="26" t="s">
        <v>36</v>
      </c>
      <c r="B29" s="27"/>
      <c r="C29" s="27"/>
      <c r="D29" s="28">
        <v>36</v>
      </c>
      <c r="F29" s="36"/>
      <c r="G29" s="37"/>
      <c r="H29" s="37"/>
      <c r="I29" s="37"/>
      <c r="J29" s="40"/>
      <c r="L29" s="3">
        <v>0</v>
      </c>
      <c r="M29" s="9">
        <f>+J42</f>
        <v>9000000</v>
      </c>
      <c r="P29" s="66" t="s">
        <v>56</v>
      </c>
      <c r="Q29" s="66" t="s">
        <v>57</v>
      </c>
      <c r="R29" s="66" t="s">
        <v>37</v>
      </c>
      <c r="S29" s="69" t="s">
        <v>58</v>
      </c>
      <c r="Y29" s="66" t="s">
        <v>65</v>
      </c>
      <c r="Z29" s="69" t="s">
        <v>66</v>
      </c>
    </row>
    <row r="30" spans="1:26" ht="19.5">
      <c r="A30" s="26" t="s">
        <v>37</v>
      </c>
      <c r="B30" s="27"/>
      <c r="C30" s="27"/>
      <c r="D30" s="29">
        <f>-PMT(D28,D29,D27,0,0)</f>
        <v>853446.74076871411</v>
      </c>
      <c r="F30" s="36"/>
      <c r="G30" s="37"/>
      <c r="H30" s="37"/>
      <c r="I30" s="37"/>
      <c r="J30" s="40"/>
      <c r="L30" s="3">
        <f>+L29+1</f>
        <v>1</v>
      </c>
      <c r="M30" s="9">
        <f>-J43</f>
        <v>-853446.74076871411</v>
      </c>
      <c r="N30" s="13" t="s">
        <v>59</v>
      </c>
      <c r="O30" s="44">
        <v>1</v>
      </c>
      <c r="P30" s="86">
        <f>+M29</f>
        <v>9000000</v>
      </c>
      <c r="Q30" s="71">
        <f>+P30*$M$28</f>
        <v>815915.03488177899</v>
      </c>
      <c r="R30" s="72">
        <f>+M30</f>
        <v>-853446.74076871411</v>
      </c>
      <c r="S30" s="73">
        <f>+P30+Q30+R30</f>
        <v>8962468.2941130642</v>
      </c>
      <c r="V30" s="2" t="s">
        <v>67</v>
      </c>
    </row>
    <row r="31" spans="1:26" ht="20.25" thickBot="1">
      <c r="A31" s="30" t="s">
        <v>38</v>
      </c>
      <c r="B31" s="31"/>
      <c r="C31" s="31"/>
      <c r="D31" s="32">
        <v>0.1</v>
      </c>
      <c r="F31" s="38"/>
      <c r="G31" s="39"/>
      <c r="H31" s="39"/>
      <c r="I31" s="39"/>
      <c r="J31" s="41"/>
      <c r="L31" s="3">
        <f t="shared" ref="L31:L65" si="0">+L30+1</f>
        <v>2</v>
      </c>
      <c r="M31" s="9">
        <f>+M30</f>
        <v>-853446.74076871411</v>
      </c>
      <c r="N31" s="79" t="s">
        <v>60</v>
      </c>
      <c r="O31" s="47">
        <f>+O30+1</f>
        <v>2</v>
      </c>
      <c r="P31" s="74">
        <f>+S30</f>
        <v>8962468.2941130642</v>
      </c>
      <c r="Q31" s="74">
        <f>+P31*$M$28</f>
        <v>812512.51453534432</v>
      </c>
      <c r="R31" s="75">
        <f>+M31</f>
        <v>-853446.74076871411</v>
      </c>
      <c r="S31" s="76">
        <f>+P31+Q31+R31</f>
        <v>8921534.0678796954</v>
      </c>
      <c r="V31" s="81" t="s">
        <v>68</v>
      </c>
      <c r="W31" s="81"/>
      <c r="X31" s="81"/>
      <c r="Y31" s="82">
        <f>+P30</f>
        <v>9000000</v>
      </c>
      <c r="Z31" s="81"/>
    </row>
    <row r="32" spans="1:26" ht="20.25" thickBot="1">
      <c r="C32" s="95">
        <f>SUM(C34:C38)</f>
        <v>3953683.0031409618</v>
      </c>
      <c r="L32" s="3">
        <f t="shared" si="0"/>
        <v>3</v>
      </c>
      <c r="M32" s="9">
        <f>+M31</f>
        <v>-853446.74076871411</v>
      </c>
      <c r="N32" s="79" t="s">
        <v>61</v>
      </c>
      <c r="O32" s="47">
        <f t="shared" ref="O32:O65" si="1">+O31+1</f>
        <v>3</v>
      </c>
      <c r="P32" s="74">
        <f t="shared" ref="P32:P40" si="2">+S31</f>
        <v>8921534.0678796954</v>
      </c>
      <c r="Q32" s="74">
        <f t="shared" ref="Q32:Q65" si="3">+P32*$M$28</f>
        <v>808801.53113256011</v>
      </c>
      <c r="R32" s="75">
        <f t="shared" ref="R32:R40" si="4">+M32</f>
        <v>-853446.74076871411</v>
      </c>
      <c r="S32" s="76">
        <f t="shared" ref="S32:S40" si="5">+P32+Q32+R32</f>
        <v>8876888.8582435418</v>
      </c>
      <c r="V32" s="81" t="s">
        <v>69</v>
      </c>
      <c r="W32" s="81"/>
      <c r="X32" s="81"/>
      <c r="Y32" s="81"/>
      <c r="Z32" s="82">
        <f>+Y31</f>
        <v>9000000</v>
      </c>
    </row>
    <row r="33" spans="1:26" ht="19.5">
      <c r="B33" s="11" t="s">
        <v>40</v>
      </c>
      <c r="C33" s="11" t="s">
        <v>41</v>
      </c>
      <c r="D33" s="11" t="s">
        <v>42</v>
      </c>
      <c r="F33" s="44" t="s">
        <v>46</v>
      </c>
      <c r="G33" s="45"/>
      <c r="H33" s="45"/>
      <c r="I33" s="45"/>
      <c r="J33" s="46"/>
      <c r="L33" s="3">
        <f t="shared" si="0"/>
        <v>4</v>
      </c>
      <c r="M33" s="9">
        <f>+M32</f>
        <v>-853446.74076871411</v>
      </c>
      <c r="N33" s="79" t="s">
        <v>62</v>
      </c>
      <c r="O33" s="47">
        <f t="shared" si="1"/>
        <v>4</v>
      </c>
      <c r="P33" s="74">
        <f t="shared" si="2"/>
        <v>8876888.8582435418</v>
      </c>
      <c r="Q33" s="74">
        <f t="shared" si="3"/>
        <v>804754.12026838388</v>
      </c>
      <c r="R33" s="75">
        <f t="shared" si="4"/>
        <v>-853446.74076871411</v>
      </c>
      <c r="S33" s="76">
        <f t="shared" si="5"/>
        <v>8828196.2377432119</v>
      </c>
      <c r="V33" s="2" t="s">
        <v>70</v>
      </c>
    </row>
    <row r="34" spans="1:26" ht="20.25" thickBot="1">
      <c r="A34" s="2">
        <v>1</v>
      </c>
      <c r="B34" s="9">
        <f>-PPMT($D$28,A34,$D$29,$D$27,0,0)</f>
        <v>53446.740768714066</v>
      </c>
      <c r="C34" s="95">
        <f>-IPMT($D$28,A34,$D$29,$D$27,0,0)</f>
        <v>800000</v>
      </c>
      <c r="D34" s="10">
        <f>+B34+C34</f>
        <v>853446.74076871411</v>
      </c>
      <c r="F34" s="47" t="s">
        <v>50</v>
      </c>
      <c r="G34" s="48"/>
      <c r="H34" s="48"/>
      <c r="I34" s="48"/>
      <c r="J34" s="49"/>
      <c r="L34" s="3">
        <f t="shared" si="0"/>
        <v>5</v>
      </c>
      <c r="M34" s="9">
        <f>+M33</f>
        <v>-853446.74076871411</v>
      </c>
      <c r="N34" s="79" t="s">
        <v>63</v>
      </c>
      <c r="O34" s="47">
        <f t="shared" si="1"/>
        <v>5</v>
      </c>
      <c r="P34" s="74">
        <f t="shared" si="2"/>
        <v>8828196.2377432119</v>
      </c>
      <c r="Q34" s="74">
        <f t="shared" si="3"/>
        <v>800339.78236238251</v>
      </c>
      <c r="R34" s="75">
        <f t="shared" si="4"/>
        <v>-853446.74076871411</v>
      </c>
      <c r="S34" s="76">
        <f t="shared" si="5"/>
        <v>8775089.2793368809</v>
      </c>
      <c r="V34" s="81" t="s">
        <v>71</v>
      </c>
      <c r="W34" s="81"/>
      <c r="X34" s="81"/>
      <c r="Y34" s="82">
        <f>SUM(Q30:Q35)</f>
        <v>4837848.2360072136</v>
      </c>
      <c r="Z34" s="81"/>
    </row>
    <row r="35" spans="1:26" ht="20.25" thickBot="1">
      <c r="A35" s="2">
        <f>+A34+1</f>
        <v>2</v>
      </c>
      <c r="B35" s="9">
        <f>-PPMT($D$28,A35,$D$29,$D$27,0,0)</f>
        <v>57722.480030211213</v>
      </c>
      <c r="C35" s="95">
        <f>-IPMT($D$28,A35,$D$29,$D$27,0,0)</f>
        <v>795724.26073850296</v>
      </c>
      <c r="D35" s="10">
        <f>+B35+C35</f>
        <v>853446.74076871411</v>
      </c>
      <c r="F35" s="47"/>
      <c r="G35" s="48"/>
      <c r="H35" s="48"/>
      <c r="I35" s="48"/>
      <c r="J35" s="49"/>
      <c r="L35" s="3">
        <f t="shared" si="0"/>
        <v>6</v>
      </c>
      <c r="M35" s="9">
        <f t="shared" ref="M35:M65" si="6">+M34</f>
        <v>-853446.74076871411</v>
      </c>
      <c r="N35" s="80" t="s">
        <v>64</v>
      </c>
      <c r="O35" s="50">
        <f t="shared" si="1"/>
        <v>6</v>
      </c>
      <c r="P35" s="77">
        <f t="shared" si="2"/>
        <v>8775089.2793368809</v>
      </c>
      <c r="Q35" s="77">
        <f t="shared" si="3"/>
        <v>795525.25282676402</v>
      </c>
      <c r="R35" s="78">
        <f t="shared" si="4"/>
        <v>-853446.74076871411</v>
      </c>
      <c r="S35" s="85">
        <f t="shared" si="5"/>
        <v>8717167.7913949303</v>
      </c>
      <c r="T35" s="85">
        <f>-NPV(M28,R36:R65)</f>
        <v>8717167.7913949024</v>
      </c>
      <c r="V35" s="81" t="s">
        <v>69</v>
      </c>
      <c r="W35" s="81"/>
      <c r="X35" s="81"/>
      <c r="Y35" s="81"/>
      <c r="Z35" s="82">
        <f>+Y34</f>
        <v>4837848.2360072136</v>
      </c>
    </row>
    <row r="36" spans="1:26" ht="20.25" thickBot="1">
      <c r="A36" s="2">
        <f t="shared" ref="A36:A69" si="7">+A35+1</f>
        <v>3</v>
      </c>
      <c r="B36" s="9">
        <f t="shared" ref="B36:B69" si="8">-PPMT($D$28,A36,$D$29,$D$27,0,0)</f>
        <v>62340.278432628103</v>
      </c>
      <c r="C36" s="95">
        <f t="shared" ref="C36:C47" si="9">-IPMT($D$28,A36,$D$29,$D$27,0,0)</f>
        <v>791106.46233608609</v>
      </c>
      <c r="D36" s="10">
        <f t="shared" ref="D36:D47" si="10">+B36+C36</f>
        <v>853446.74076871423</v>
      </c>
      <c r="F36" s="47"/>
      <c r="G36" s="48" t="s">
        <v>47</v>
      </c>
      <c r="H36" s="48"/>
      <c r="I36" s="48"/>
      <c r="J36" s="49"/>
      <c r="L36" s="3">
        <f t="shared" si="0"/>
        <v>7</v>
      </c>
      <c r="M36" s="9">
        <f t="shared" si="6"/>
        <v>-853446.74076871411</v>
      </c>
      <c r="O36" s="3">
        <f t="shared" si="1"/>
        <v>7</v>
      </c>
      <c r="P36" s="9">
        <f t="shared" si="2"/>
        <v>8717167.7913949303</v>
      </c>
      <c r="Q36" s="9">
        <f t="shared" si="3"/>
        <v>790274.25139847945</v>
      </c>
      <c r="R36" s="70">
        <f t="shared" si="4"/>
        <v>-853446.74076871411</v>
      </c>
      <c r="S36" s="9">
        <f t="shared" si="5"/>
        <v>8653995.302024696</v>
      </c>
      <c r="T36" s="85">
        <f>-NPV(M28,R36:R47)</f>
        <v>6091116.0006105695</v>
      </c>
      <c r="U36" s="2" t="s">
        <v>80</v>
      </c>
      <c r="V36" s="2" t="s">
        <v>70</v>
      </c>
    </row>
    <row r="37" spans="1:26" ht="20.25" thickBot="1">
      <c r="A37" s="2">
        <f t="shared" si="7"/>
        <v>4</v>
      </c>
      <c r="B37" s="9">
        <f t="shared" si="8"/>
        <v>67327.50070723836</v>
      </c>
      <c r="C37" s="95">
        <f t="shared" si="9"/>
        <v>786119.24006147578</v>
      </c>
      <c r="D37" s="10">
        <f t="shared" si="10"/>
        <v>853446.74076871411</v>
      </c>
      <c r="F37" s="47"/>
      <c r="G37" s="48" t="s">
        <v>48</v>
      </c>
      <c r="H37" s="48"/>
      <c r="I37" s="48"/>
      <c r="J37" s="49"/>
      <c r="L37" s="3">
        <f t="shared" si="0"/>
        <v>8</v>
      </c>
      <c r="M37" s="9">
        <f t="shared" si="6"/>
        <v>-853446.74076871411</v>
      </c>
      <c r="O37" s="3">
        <f t="shared" si="1"/>
        <v>8</v>
      </c>
      <c r="P37" s="9">
        <f t="shared" si="2"/>
        <v>8653995.302024696</v>
      </c>
      <c r="Q37" s="9">
        <f t="shared" si="3"/>
        <v>784547.20874647016</v>
      </c>
      <c r="R37" s="70">
        <f t="shared" si="4"/>
        <v>-853446.74076871411</v>
      </c>
      <c r="S37" s="9">
        <f t="shared" si="5"/>
        <v>8585095.7700024527</v>
      </c>
      <c r="T37" s="85">
        <f>+T35-T36</f>
        <v>2626051.7907843329</v>
      </c>
      <c r="U37" s="2" t="s">
        <v>81</v>
      </c>
      <c r="V37" s="81" t="s">
        <v>69</v>
      </c>
      <c r="W37" s="81"/>
      <c r="X37" s="81"/>
      <c r="Y37" s="82">
        <f>-SUM(R30:R35)</f>
        <v>5120680.4446122842</v>
      </c>
      <c r="Z37" s="81"/>
    </row>
    <row r="38" spans="1:26" ht="20.25" thickBot="1">
      <c r="A38" s="2">
        <f t="shared" si="7"/>
        <v>5</v>
      </c>
      <c r="B38" s="9">
        <f t="shared" si="8"/>
        <v>72713.700763817411</v>
      </c>
      <c r="C38" s="95">
        <f t="shared" si="9"/>
        <v>780733.0400048967</v>
      </c>
      <c r="D38" s="10">
        <f t="shared" si="10"/>
        <v>853446.74076871411</v>
      </c>
      <c r="F38" s="50"/>
      <c r="G38" s="51" t="s">
        <v>49</v>
      </c>
      <c r="H38" s="51"/>
      <c r="I38" s="51"/>
      <c r="J38" s="52"/>
      <c r="L38" s="3">
        <f t="shared" si="0"/>
        <v>9</v>
      </c>
      <c r="M38" s="9">
        <f t="shared" si="6"/>
        <v>-853446.74076871411</v>
      </c>
      <c r="O38" s="3">
        <f t="shared" si="1"/>
        <v>9</v>
      </c>
      <c r="P38" s="9">
        <f t="shared" si="2"/>
        <v>8585095.7700024527</v>
      </c>
      <c r="Q38" s="9">
        <f t="shared" si="3"/>
        <v>778300.96829388489</v>
      </c>
      <c r="R38" s="94">
        <f t="shared" si="4"/>
        <v>-853446.74076871411</v>
      </c>
      <c r="S38" s="9">
        <f t="shared" si="5"/>
        <v>8509949.9975276235</v>
      </c>
      <c r="V38" s="81" t="s">
        <v>68</v>
      </c>
      <c r="W38" s="81"/>
      <c r="X38" s="81"/>
      <c r="Y38" s="81"/>
      <c r="Z38" s="82">
        <f>+Y37</f>
        <v>5120680.4446122842</v>
      </c>
    </row>
    <row r="39" spans="1:26" ht="20.25" thickBot="1">
      <c r="A39" s="2">
        <f t="shared" si="7"/>
        <v>6</v>
      </c>
      <c r="B39" s="9">
        <f t="shared" si="8"/>
        <v>78530.796824922785</v>
      </c>
      <c r="C39" s="9">
        <f t="shared" si="9"/>
        <v>774915.94394379144</v>
      </c>
      <c r="D39" s="10">
        <f t="shared" si="10"/>
        <v>853446.74076871423</v>
      </c>
      <c r="L39" s="3">
        <f t="shared" si="0"/>
        <v>10</v>
      </c>
      <c r="M39" s="9">
        <f t="shared" si="6"/>
        <v>-853446.74076871411</v>
      </c>
      <c r="O39" s="3">
        <f t="shared" si="1"/>
        <v>10</v>
      </c>
      <c r="P39" s="9">
        <f t="shared" si="2"/>
        <v>8509949.9975276235</v>
      </c>
      <c r="Q39" s="9">
        <f t="shared" si="3"/>
        <v>771488.46100832731</v>
      </c>
      <c r="R39" s="70">
        <f t="shared" si="4"/>
        <v>-853446.74076871411</v>
      </c>
      <c r="S39" s="9">
        <f t="shared" si="5"/>
        <v>8427991.7177672368</v>
      </c>
    </row>
    <row r="40" spans="1:26" ht="19.5">
      <c r="A40" s="2">
        <f t="shared" si="7"/>
        <v>7</v>
      </c>
      <c r="B40" s="9">
        <f t="shared" si="8"/>
        <v>84813.260570916624</v>
      </c>
      <c r="C40" s="9">
        <f t="shared" si="9"/>
        <v>768633.48019779741</v>
      </c>
      <c r="D40" s="10">
        <f t="shared" si="10"/>
        <v>853446.74076871399</v>
      </c>
      <c r="F40" s="59" t="s">
        <v>51</v>
      </c>
      <c r="G40" s="54"/>
      <c r="H40" s="54"/>
      <c r="I40" s="54"/>
      <c r="J40" s="55"/>
      <c r="L40" s="3">
        <f t="shared" si="0"/>
        <v>11</v>
      </c>
      <c r="M40" s="9">
        <f t="shared" si="6"/>
        <v>-853446.74076871411</v>
      </c>
      <c r="O40" s="3">
        <f t="shared" si="1"/>
        <v>11</v>
      </c>
      <c r="P40" s="9">
        <f t="shared" si="2"/>
        <v>8427991.7177672368</v>
      </c>
      <c r="Q40" s="9">
        <f t="shared" si="3"/>
        <v>764058.35070948885</v>
      </c>
      <c r="R40" s="70">
        <f t="shared" si="4"/>
        <v>-853446.74076871411</v>
      </c>
      <c r="S40" s="9">
        <f t="shared" si="5"/>
        <v>8338603.3277080115</v>
      </c>
      <c r="V40" s="87" t="s">
        <v>69</v>
      </c>
      <c r="W40" s="88"/>
    </row>
    <row r="41" spans="1:26" ht="20.25" thickBot="1">
      <c r="A41" s="2">
        <f t="shared" si="7"/>
        <v>8</v>
      </c>
      <c r="B41" s="9">
        <f t="shared" si="8"/>
        <v>91598.321416589941</v>
      </c>
      <c r="C41" s="9">
        <f t="shared" si="9"/>
        <v>761848.41935212421</v>
      </c>
      <c r="D41" s="10">
        <f t="shared" si="10"/>
        <v>853446.74076871411</v>
      </c>
      <c r="F41" s="56"/>
      <c r="G41" s="57"/>
      <c r="H41" s="57"/>
      <c r="I41" s="57"/>
      <c r="J41" s="58"/>
      <c r="L41" s="3">
        <f t="shared" si="0"/>
        <v>12</v>
      </c>
      <c r="M41" s="9">
        <f t="shared" si="6"/>
        <v>-853446.74076871411</v>
      </c>
      <c r="O41" s="3">
        <f t="shared" si="1"/>
        <v>12</v>
      </c>
      <c r="P41" s="9">
        <f t="shared" ref="P41:P55" si="11">+S40</f>
        <v>8338603.3277080115</v>
      </c>
      <c r="Q41" s="9">
        <f t="shared" si="3"/>
        <v>755954.64722135558</v>
      </c>
      <c r="R41" s="70">
        <f t="shared" ref="R41:R55" si="12">+M41</f>
        <v>-853446.74076871411</v>
      </c>
      <c r="S41" s="9">
        <f t="shared" ref="S41:S55" si="13">+P41+Q41+R41</f>
        <v>8241111.2341606524</v>
      </c>
    </row>
    <row r="42" spans="1:26" ht="20.25" thickBot="1">
      <c r="A42" s="2">
        <f t="shared" si="7"/>
        <v>9</v>
      </c>
      <c r="B42" s="9">
        <f t="shared" si="8"/>
        <v>98926.187129917147</v>
      </c>
      <c r="C42" s="9">
        <f t="shared" si="9"/>
        <v>754520.55363879702</v>
      </c>
      <c r="D42" s="10">
        <f t="shared" si="10"/>
        <v>853446.74076871411</v>
      </c>
      <c r="F42" s="60" t="s">
        <v>52</v>
      </c>
      <c r="G42" s="61"/>
      <c r="H42" s="61"/>
      <c r="I42" s="61"/>
      <c r="J42" s="62">
        <f>+J27</f>
        <v>9000000</v>
      </c>
      <c r="L42" s="3">
        <f t="shared" si="0"/>
        <v>13</v>
      </c>
      <c r="M42" s="9">
        <f t="shared" si="6"/>
        <v>-853446.74076871411</v>
      </c>
      <c r="O42" s="3">
        <f t="shared" si="1"/>
        <v>13</v>
      </c>
      <c r="P42" s="9">
        <f t="shared" si="11"/>
        <v>8241111.2341606524</v>
      </c>
      <c r="Q42" s="9">
        <f t="shared" si="3"/>
        <v>747116.2844538677</v>
      </c>
      <c r="R42" s="70">
        <f t="shared" si="12"/>
        <v>-853446.74076871411</v>
      </c>
      <c r="S42" s="9">
        <f t="shared" si="13"/>
        <v>8134780.7778458055</v>
      </c>
      <c r="V42" s="53" t="s">
        <v>73</v>
      </c>
      <c r="W42" s="14"/>
      <c r="X42" s="14"/>
      <c r="Y42" s="15"/>
      <c r="Z42" s="85">
        <f>+Z32+Z35-Y37</f>
        <v>8717167.7913949303</v>
      </c>
    </row>
    <row r="43" spans="1:26" ht="20.25" thickBot="1">
      <c r="A43" s="2">
        <f t="shared" si="7"/>
        <v>10</v>
      </c>
      <c r="B43" s="9">
        <f t="shared" si="8"/>
        <v>106840.28210031052</v>
      </c>
      <c r="C43" s="9">
        <f t="shared" si="9"/>
        <v>746606.45866840368</v>
      </c>
      <c r="D43" s="10">
        <f t="shared" si="10"/>
        <v>853446.74076871423</v>
      </c>
      <c r="F43" s="63" t="s">
        <v>53</v>
      </c>
      <c r="G43" s="64"/>
      <c r="H43" s="64"/>
      <c r="I43" s="64"/>
      <c r="J43" s="65">
        <f>+D34</f>
        <v>853446.74076871411</v>
      </c>
      <c r="L43" s="3">
        <f t="shared" si="0"/>
        <v>14</v>
      </c>
      <c r="M43" s="9">
        <f t="shared" si="6"/>
        <v>-853446.74076871411</v>
      </c>
      <c r="O43" s="3">
        <f t="shared" si="1"/>
        <v>14</v>
      </c>
      <c r="P43" s="9">
        <f t="shared" si="11"/>
        <v>8134780.7778458055</v>
      </c>
      <c r="Q43" s="9">
        <f t="shared" si="3"/>
        <v>737476.66023463174</v>
      </c>
      <c r="R43" s="70">
        <f t="shared" si="12"/>
        <v>-853446.74076871411</v>
      </c>
      <c r="S43" s="9">
        <f t="shared" si="13"/>
        <v>8018810.6973117236</v>
      </c>
      <c r="V43" s="16" t="s">
        <v>74</v>
      </c>
      <c r="W43" s="17"/>
      <c r="X43" s="17"/>
      <c r="Y43" s="19"/>
      <c r="Z43" s="85">
        <f>+Z42</f>
        <v>8717167.7913949303</v>
      </c>
    </row>
    <row r="44" spans="1:26" ht="20.25" thickBot="1">
      <c r="A44" s="2">
        <f t="shared" si="7"/>
        <v>11</v>
      </c>
      <c r="B44" s="9">
        <f t="shared" si="8"/>
        <v>115387.5046683354</v>
      </c>
      <c r="C44" s="9">
        <f t="shared" si="9"/>
        <v>738059.2361003788</v>
      </c>
      <c r="D44" s="10">
        <f t="shared" si="10"/>
        <v>853446.74076871423</v>
      </c>
      <c r="L44" s="3">
        <f t="shared" si="0"/>
        <v>15</v>
      </c>
      <c r="M44" s="9">
        <f t="shared" si="6"/>
        <v>-853446.74076871411</v>
      </c>
      <c r="O44" s="3">
        <f t="shared" si="1"/>
        <v>15</v>
      </c>
      <c r="P44" s="9">
        <f t="shared" si="11"/>
        <v>8018810.6973117236</v>
      </c>
      <c r="Q44" s="9">
        <f t="shared" si="3"/>
        <v>726963.13442305301</v>
      </c>
      <c r="R44" s="70">
        <f t="shared" si="12"/>
        <v>-853446.74076871411</v>
      </c>
      <c r="S44" s="9">
        <f t="shared" si="13"/>
        <v>7892327.0909660626</v>
      </c>
      <c r="V44" s="20" t="s">
        <v>75</v>
      </c>
      <c r="W44" s="21"/>
      <c r="X44" s="21"/>
      <c r="Y44" s="22"/>
      <c r="Z44" s="85">
        <f>+Z43</f>
        <v>8717167.7913949303</v>
      </c>
    </row>
    <row r="45" spans="1:26" ht="19.5">
      <c r="A45" s="2">
        <f t="shared" si="7"/>
        <v>12</v>
      </c>
      <c r="B45" s="9">
        <f t="shared" si="8"/>
        <v>124618.50504180219</v>
      </c>
      <c r="C45" s="9">
        <f t="shared" si="9"/>
        <v>728828.23572691192</v>
      </c>
      <c r="D45" s="10">
        <f t="shared" si="10"/>
        <v>853446.74076871411</v>
      </c>
      <c r="F45" s="13" t="s">
        <v>76</v>
      </c>
      <c r="G45" s="14"/>
      <c r="H45" s="15"/>
      <c r="L45" s="3">
        <f t="shared" si="0"/>
        <v>16</v>
      </c>
      <c r="M45" s="9">
        <f t="shared" si="6"/>
        <v>-853446.74076871411</v>
      </c>
      <c r="O45" s="3">
        <f t="shared" si="1"/>
        <v>16</v>
      </c>
      <c r="P45" s="9">
        <f t="shared" si="11"/>
        <v>7892327.0909660626</v>
      </c>
      <c r="Q45" s="9">
        <f t="shared" si="3"/>
        <v>715496.48152488715</v>
      </c>
      <c r="R45" s="70">
        <f t="shared" si="12"/>
        <v>-853446.74076871411</v>
      </c>
      <c r="S45" s="9">
        <f t="shared" si="13"/>
        <v>7754376.8317222353</v>
      </c>
    </row>
    <row r="46" spans="1:26" ht="19.5">
      <c r="A46" s="2">
        <f t="shared" si="7"/>
        <v>13</v>
      </c>
      <c r="B46" s="9">
        <f t="shared" si="8"/>
        <v>134587.98544514639</v>
      </c>
      <c r="C46" s="9">
        <f t="shared" si="9"/>
        <v>718858.75532356766</v>
      </c>
      <c r="D46" s="10">
        <f t="shared" si="10"/>
        <v>853446.74076871411</v>
      </c>
      <c r="F46" s="16"/>
      <c r="G46" s="17"/>
      <c r="H46" s="19"/>
      <c r="L46" s="3">
        <f t="shared" si="0"/>
        <v>17</v>
      </c>
      <c r="M46" s="9">
        <f t="shared" si="6"/>
        <v>-853446.74076871411</v>
      </c>
      <c r="O46" s="3">
        <f t="shared" si="1"/>
        <v>17</v>
      </c>
      <c r="P46" s="9">
        <f t="shared" si="11"/>
        <v>7754376.8317222353</v>
      </c>
      <c r="Q46" s="9">
        <f t="shared" si="3"/>
        <v>702990.29368234519</v>
      </c>
      <c r="R46" s="70">
        <f t="shared" si="12"/>
        <v>-853446.74076871411</v>
      </c>
      <c r="S46" s="9">
        <f t="shared" si="13"/>
        <v>7603920.3846358676</v>
      </c>
    </row>
    <row r="47" spans="1:26" ht="19.5">
      <c r="A47" s="2">
        <f t="shared" si="7"/>
        <v>14</v>
      </c>
      <c r="B47" s="9">
        <f t="shared" si="8"/>
        <v>145355.02428075805</v>
      </c>
      <c r="C47" s="9">
        <f t="shared" si="9"/>
        <v>708091.71648795612</v>
      </c>
      <c r="D47" s="10">
        <f t="shared" si="10"/>
        <v>853446.74076871411</v>
      </c>
      <c r="F47" s="89" t="s">
        <v>77</v>
      </c>
      <c r="G47" s="90"/>
      <c r="H47" s="91">
        <f>+D27</f>
        <v>10000000</v>
      </c>
      <c r="L47" s="3">
        <f t="shared" si="0"/>
        <v>18</v>
      </c>
      <c r="M47" s="9">
        <f t="shared" si="6"/>
        <v>-853446.74076871411</v>
      </c>
      <c r="O47" s="3">
        <f t="shared" si="1"/>
        <v>18</v>
      </c>
      <c r="P47" s="9">
        <f t="shared" si="11"/>
        <v>7603920.3846358676</v>
      </c>
      <c r="Q47" s="9">
        <f t="shared" si="3"/>
        <v>689350.32954093826</v>
      </c>
      <c r="R47" s="70">
        <f t="shared" si="12"/>
        <v>-853446.74076871411</v>
      </c>
      <c r="S47" s="9">
        <f t="shared" si="13"/>
        <v>7439823.9734080918</v>
      </c>
    </row>
    <row r="48" spans="1:26" ht="19.5">
      <c r="A48" s="2">
        <f t="shared" si="7"/>
        <v>15</v>
      </c>
      <c r="B48" s="9">
        <f t="shared" si="8"/>
        <v>156983.4262232187</v>
      </c>
      <c r="C48" s="9">
        <f t="shared" ref="C48:C69" si="14">-IPMT($D$28,A48,$D$29,$D$27,0,0)</f>
        <v>696463.31454549532</v>
      </c>
      <c r="D48" s="10">
        <f t="shared" ref="D48:D69" si="15">+B48+C48</f>
        <v>853446.74076871399</v>
      </c>
      <c r="F48" s="89" t="s">
        <v>78</v>
      </c>
      <c r="G48" s="90"/>
      <c r="H48" s="91">
        <f>+D48*36</f>
        <v>30724082.667673703</v>
      </c>
      <c r="L48" s="3">
        <f t="shared" si="0"/>
        <v>19</v>
      </c>
      <c r="M48" s="9">
        <f t="shared" si="6"/>
        <v>-853446.74076871411</v>
      </c>
      <c r="O48" s="3">
        <f t="shared" si="1"/>
        <v>19</v>
      </c>
      <c r="P48" s="9">
        <f t="shared" si="11"/>
        <v>7439823.9734080918</v>
      </c>
      <c r="Q48" s="9">
        <f t="shared" si="3"/>
        <v>674473.80408639542</v>
      </c>
      <c r="R48" s="70">
        <f t="shared" si="12"/>
        <v>-853446.74076871411</v>
      </c>
      <c r="S48" s="9">
        <f t="shared" si="13"/>
        <v>7260851.0367257735</v>
      </c>
    </row>
    <row r="49" spans="1:19" ht="20.25" thickBot="1">
      <c r="A49" s="2">
        <f t="shared" si="7"/>
        <v>16</v>
      </c>
      <c r="B49" s="9">
        <f t="shared" si="8"/>
        <v>169542.10032107623</v>
      </c>
      <c r="C49" s="9">
        <f t="shared" si="14"/>
        <v>683904.64044763788</v>
      </c>
      <c r="D49" s="10">
        <f t="shared" si="15"/>
        <v>853446.74076871411</v>
      </c>
      <c r="F49" s="20"/>
      <c r="G49" s="21"/>
      <c r="H49" s="92">
        <f>+H48-H47</f>
        <v>20724082.667673703</v>
      </c>
      <c r="L49" s="3">
        <f t="shared" si="0"/>
        <v>20</v>
      </c>
      <c r="M49" s="9">
        <f t="shared" si="6"/>
        <v>-853446.74076871411</v>
      </c>
      <c r="O49" s="3">
        <f t="shared" si="1"/>
        <v>20</v>
      </c>
      <c r="P49" s="9">
        <f t="shared" si="11"/>
        <v>7260851.0367257735</v>
      </c>
      <c r="Q49" s="9">
        <f t="shared" si="3"/>
        <v>658248.61410016788</v>
      </c>
      <c r="R49" s="70">
        <f t="shared" si="12"/>
        <v>-853446.74076871411</v>
      </c>
      <c r="S49" s="9">
        <f t="shared" si="13"/>
        <v>7065652.9100572271</v>
      </c>
    </row>
    <row r="50" spans="1:19" ht="20.25" thickBot="1">
      <c r="A50" s="2">
        <f t="shared" si="7"/>
        <v>17</v>
      </c>
      <c r="B50" s="9">
        <f t="shared" si="8"/>
        <v>183105.46834676233</v>
      </c>
      <c r="C50" s="9">
        <f t="shared" si="14"/>
        <v>670341.27242195175</v>
      </c>
      <c r="D50" s="10">
        <f t="shared" si="15"/>
        <v>853446.74076871411</v>
      </c>
      <c r="L50" s="3">
        <f t="shared" si="0"/>
        <v>21</v>
      </c>
      <c r="M50" s="9">
        <f t="shared" si="6"/>
        <v>-853446.74076871411</v>
      </c>
      <c r="O50" s="3">
        <f t="shared" si="1"/>
        <v>21</v>
      </c>
      <c r="P50" s="9">
        <f t="shared" si="11"/>
        <v>7065652.9100572271</v>
      </c>
      <c r="Q50" s="9">
        <f t="shared" si="3"/>
        <v>640552.49339687615</v>
      </c>
      <c r="R50" s="70">
        <f t="shared" si="12"/>
        <v>-853446.74076871411</v>
      </c>
      <c r="S50" s="9">
        <f t="shared" si="13"/>
        <v>6852758.6626853896</v>
      </c>
    </row>
    <row r="51" spans="1:19" ht="19.5">
      <c r="A51" s="2">
        <f t="shared" si="7"/>
        <v>18</v>
      </c>
      <c r="B51" s="9">
        <f t="shared" si="8"/>
        <v>197753.90581450332</v>
      </c>
      <c r="C51" s="9">
        <f t="shared" si="14"/>
        <v>655692.83495421079</v>
      </c>
      <c r="D51" s="10">
        <f t="shared" si="15"/>
        <v>853446.74076871411</v>
      </c>
      <c r="F51" s="13" t="s">
        <v>79</v>
      </c>
      <c r="G51" s="14"/>
      <c r="H51" s="15"/>
      <c r="L51" s="3">
        <f t="shared" si="0"/>
        <v>22</v>
      </c>
      <c r="M51" s="9">
        <f t="shared" si="6"/>
        <v>-853446.74076871411</v>
      </c>
      <c r="O51" s="3">
        <f t="shared" si="1"/>
        <v>22</v>
      </c>
      <c r="P51" s="9">
        <f t="shared" si="11"/>
        <v>6852758.6626853896</v>
      </c>
      <c r="Q51" s="9">
        <f t="shared" si="3"/>
        <v>621252.09147792915</v>
      </c>
      <c r="R51" s="70">
        <f t="shared" si="12"/>
        <v>-853446.74076871411</v>
      </c>
      <c r="S51" s="9">
        <f t="shared" si="13"/>
        <v>6620564.0133946054</v>
      </c>
    </row>
    <row r="52" spans="1:19" ht="19.5">
      <c r="A52" s="2">
        <f t="shared" si="7"/>
        <v>19</v>
      </c>
      <c r="B52" s="9">
        <f t="shared" si="8"/>
        <v>213574.21827966356</v>
      </c>
      <c r="C52" s="9">
        <f t="shared" si="14"/>
        <v>639872.52248905064</v>
      </c>
      <c r="D52" s="10">
        <f t="shared" si="15"/>
        <v>853446.74076871423</v>
      </c>
      <c r="F52" s="16"/>
      <c r="G52" s="17"/>
      <c r="H52" s="19"/>
      <c r="L52" s="3">
        <f t="shared" si="0"/>
        <v>23</v>
      </c>
      <c r="M52" s="9">
        <f t="shared" si="6"/>
        <v>-853446.74076871411</v>
      </c>
      <c r="O52" s="3">
        <f t="shared" si="1"/>
        <v>23</v>
      </c>
      <c r="P52" s="9">
        <f t="shared" si="11"/>
        <v>6620564.0133946054</v>
      </c>
      <c r="Q52" s="9">
        <f t="shared" si="3"/>
        <v>600201.96865843446</v>
      </c>
      <c r="R52" s="70">
        <f t="shared" si="12"/>
        <v>-853446.74076871411</v>
      </c>
      <c r="S52" s="9">
        <f t="shared" si="13"/>
        <v>6367319.2412843257</v>
      </c>
    </row>
    <row r="53" spans="1:19" ht="19.5">
      <c r="A53" s="2">
        <f t="shared" si="7"/>
        <v>20</v>
      </c>
      <c r="B53" s="9">
        <f t="shared" si="8"/>
        <v>230660.15574203664</v>
      </c>
      <c r="C53" s="9">
        <f t="shared" si="14"/>
        <v>622786.58502667747</v>
      </c>
      <c r="D53" s="10">
        <f t="shared" si="15"/>
        <v>853446.74076871411</v>
      </c>
      <c r="F53" s="89" t="s">
        <v>77</v>
      </c>
      <c r="G53" s="90"/>
      <c r="H53" s="91">
        <f>+J27</f>
        <v>9000000</v>
      </c>
      <c r="L53" s="3">
        <f t="shared" si="0"/>
        <v>24</v>
      </c>
      <c r="M53" s="9">
        <f t="shared" si="6"/>
        <v>-853446.74076871411</v>
      </c>
      <c r="O53" s="3">
        <f t="shared" si="1"/>
        <v>24</v>
      </c>
      <c r="P53" s="9">
        <f t="shared" si="11"/>
        <v>6367319.2412843257</v>
      </c>
      <c r="Q53" s="9">
        <f t="shared" si="3"/>
        <v>577243.50009510259</v>
      </c>
      <c r="R53" s="70">
        <f t="shared" si="12"/>
        <v>-853446.74076871411</v>
      </c>
      <c r="S53" s="9">
        <f t="shared" si="13"/>
        <v>6091116.0006107148</v>
      </c>
    </row>
    <row r="54" spans="1:19" ht="19.5">
      <c r="A54" s="2">
        <f t="shared" si="7"/>
        <v>21</v>
      </c>
      <c r="B54" s="9">
        <f t="shared" si="8"/>
        <v>249112.96820139961</v>
      </c>
      <c r="C54" s="9">
        <f t="shared" si="14"/>
        <v>604333.77256731456</v>
      </c>
      <c r="D54" s="10">
        <f t="shared" si="15"/>
        <v>853446.74076871411</v>
      </c>
      <c r="F54" s="89" t="s">
        <v>78</v>
      </c>
      <c r="G54" s="90"/>
      <c r="H54" s="91">
        <f>+H48</f>
        <v>30724082.667673703</v>
      </c>
      <c r="L54" s="3">
        <f t="shared" si="0"/>
        <v>25</v>
      </c>
      <c r="M54" s="9">
        <f t="shared" si="6"/>
        <v>-853446.74076871411</v>
      </c>
      <c r="O54" s="3">
        <f t="shared" si="1"/>
        <v>25</v>
      </c>
      <c r="P54" s="9">
        <f t="shared" si="11"/>
        <v>6091116.0006107148</v>
      </c>
      <c r="Q54" s="9">
        <f t="shared" si="3"/>
        <v>552203.6804563615</v>
      </c>
      <c r="R54" s="70">
        <f t="shared" si="12"/>
        <v>-853446.74076871411</v>
      </c>
      <c r="S54" s="9">
        <f t="shared" si="13"/>
        <v>5789872.9402983626</v>
      </c>
    </row>
    <row r="55" spans="1:19" ht="20.25" thickBot="1">
      <c r="A55" s="2">
        <f t="shared" si="7"/>
        <v>22</v>
      </c>
      <c r="B55" s="9">
        <f t="shared" si="8"/>
        <v>269042.00565751153</v>
      </c>
      <c r="C55" s="9">
        <f t="shared" si="14"/>
        <v>584404.73511120258</v>
      </c>
      <c r="D55" s="10">
        <f t="shared" si="15"/>
        <v>853446.74076871411</v>
      </c>
      <c r="F55" s="20"/>
      <c r="G55" s="21"/>
      <c r="H55" s="92">
        <f>+H54-H53</f>
        <v>21724082.667673703</v>
      </c>
      <c r="L55" s="3">
        <f t="shared" si="0"/>
        <v>26</v>
      </c>
      <c r="M55" s="9">
        <f t="shared" si="6"/>
        <v>-853446.74076871411</v>
      </c>
      <c r="O55" s="3">
        <f t="shared" si="1"/>
        <v>26</v>
      </c>
      <c r="P55" s="9">
        <f t="shared" si="11"/>
        <v>5789872.9402983626</v>
      </c>
      <c r="Q55" s="9">
        <f t="shared" si="3"/>
        <v>524893.82022717851</v>
      </c>
      <c r="R55" s="70">
        <f t="shared" si="12"/>
        <v>-853446.74076871411</v>
      </c>
      <c r="S55" s="9">
        <f t="shared" si="13"/>
        <v>5461320.0197568275</v>
      </c>
    </row>
    <row r="56" spans="1:19" ht="19.5">
      <c r="A56" s="2">
        <f t="shared" si="7"/>
        <v>23</v>
      </c>
      <c r="B56" s="9">
        <f t="shared" si="8"/>
        <v>290565.36611011252</v>
      </c>
      <c r="C56" s="9">
        <f t="shared" si="14"/>
        <v>562881.37465860159</v>
      </c>
      <c r="D56" s="10">
        <f t="shared" si="15"/>
        <v>853446.74076871411</v>
      </c>
      <c r="L56" s="3">
        <f t="shared" si="0"/>
        <v>27</v>
      </c>
      <c r="M56" s="9">
        <f t="shared" si="6"/>
        <v>-853446.74076871411</v>
      </c>
      <c r="O56" s="3">
        <f t="shared" si="1"/>
        <v>27</v>
      </c>
      <c r="P56" s="9">
        <f t="shared" ref="P56:P65" si="16">+S55</f>
        <v>5461320.0197568275</v>
      </c>
      <c r="Q56" s="9">
        <f t="shared" si="3"/>
        <v>495108.12382449443</v>
      </c>
      <c r="R56" s="70">
        <f t="shared" ref="R56:R65" si="17">+M56</f>
        <v>-853446.74076871411</v>
      </c>
      <c r="S56" s="9">
        <f t="shared" ref="S56:S65" si="18">+P56+Q56+R56</f>
        <v>5102981.4028126076</v>
      </c>
    </row>
    <row r="57" spans="1:19" ht="19.5">
      <c r="A57" s="2">
        <f t="shared" si="7"/>
        <v>24</v>
      </c>
      <c r="B57" s="9">
        <f t="shared" si="8"/>
        <v>313810.59539892146</v>
      </c>
      <c r="C57" s="9">
        <f t="shared" si="14"/>
        <v>539636.14536979271</v>
      </c>
      <c r="D57" s="10">
        <f t="shared" si="15"/>
        <v>853446.74076871411</v>
      </c>
      <c r="L57" s="3">
        <f t="shared" si="0"/>
        <v>28</v>
      </c>
      <c r="M57" s="9">
        <f t="shared" si="6"/>
        <v>-853446.74076871411</v>
      </c>
      <c r="O57" s="3">
        <f t="shared" si="1"/>
        <v>28</v>
      </c>
      <c r="P57" s="9">
        <f t="shared" si="16"/>
        <v>5102981.4028126076</v>
      </c>
      <c r="Q57" s="9">
        <f t="shared" si="3"/>
        <v>462622.13880854647</v>
      </c>
      <c r="R57" s="70">
        <f t="shared" si="17"/>
        <v>-853446.74076871411</v>
      </c>
      <c r="S57" s="9">
        <f t="shared" si="18"/>
        <v>4712156.8008524403</v>
      </c>
    </row>
    <row r="58" spans="1:19" ht="19.5">
      <c r="A58" s="2">
        <f t="shared" si="7"/>
        <v>25</v>
      </c>
      <c r="B58" s="9">
        <f t="shared" si="8"/>
        <v>338915.44303083525</v>
      </c>
      <c r="C58" s="9">
        <f t="shared" si="14"/>
        <v>514531.29773787904</v>
      </c>
      <c r="D58" s="10">
        <f t="shared" si="15"/>
        <v>853446.74076871434</v>
      </c>
      <c r="L58" s="3">
        <f t="shared" si="0"/>
        <v>29</v>
      </c>
      <c r="M58" s="9">
        <f t="shared" si="6"/>
        <v>-853446.74076871411</v>
      </c>
      <c r="O58" s="3">
        <f t="shared" si="1"/>
        <v>29</v>
      </c>
      <c r="P58" s="9">
        <f t="shared" si="16"/>
        <v>4712156.8008524403</v>
      </c>
      <c r="Q58" s="9">
        <f t="shared" si="3"/>
        <v>427191.06450399233</v>
      </c>
      <c r="R58" s="70">
        <f t="shared" si="17"/>
        <v>-853446.74076871411</v>
      </c>
      <c r="S58" s="9">
        <f t="shared" si="18"/>
        <v>4285901.1245877184</v>
      </c>
    </row>
    <row r="59" spans="1:19" ht="19.5">
      <c r="A59" s="2">
        <f t="shared" si="7"/>
        <v>26</v>
      </c>
      <c r="B59" s="9">
        <f t="shared" si="8"/>
        <v>366028.67847330199</v>
      </c>
      <c r="C59" s="9">
        <f t="shared" si="14"/>
        <v>487418.06229541212</v>
      </c>
      <c r="D59" s="10">
        <f t="shared" si="15"/>
        <v>853446.74076871411</v>
      </c>
      <c r="L59" s="3">
        <f t="shared" si="0"/>
        <v>30</v>
      </c>
      <c r="M59" s="9">
        <f t="shared" si="6"/>
        <v>-853446.74076871411</v>
      </c>
      <c r="O59" s="3">
        <f t="shared" si="1"/>
        <v>30</v>
      </c>
      <c r="P59" s="9">
        <f t="shared" si="16"/>
        <v>4285901.1245877184</v>
      </c>
      <c r="Q59" s="9">
        <f t="shared" si="3"/>
        <v>388547.90728531597</v>
      </c>
      <c r="R59" s="70">
        <f t="shared" si="17"/>
        <v>-853446.74076871411</v>
      </c>
      <c r="S59" s="9">
        <f t="shared" si="18"/>
        <v>3821002.2911043204</v>
      </c>
    </row>
    <row r="60" spans="1:19" ht="19.5">
      <c r="A60" s="2">
        <f t="shared" si="7"/>
        <v>27</v>
      </c>
      <c r="B60" s="9">
        <f t="shared" si="8"/>
        <v>395310.97275116615</v>
      </c>
      <c r="C60" s="9">
        <f t="shared" si="14"/>
        <v>458135.76801754796</v>
      </c>
      <c r="D60" s="10">
        <f t="shared" si="15"/>
        <v>853446.74076871411</v>
      </c>
      <c r="L60" s="3">
        <f t="shared" si="0"/>
        <v>31</v>
      </c>
      <c r="M60" s="9">
        <f t="shared" si="6"/>
        <v>-853446.74076871411</v>
      </c>
      <c r="O60" s="3">
        <f t="shared" si="1"/>
        <v>31</v>
      </c>
      <c r="P60" s="9">
        <f t="shared" si="16"/>
        <v>3821002.2911043204</v>
      </c>
      <c r="Q60" s="9">
        <f t="shared" si="3"/>
        <v>346401.46862552653</v>
      </c>
      <c r="R60" s="70">
        <f t="shared" si="17"/>
        <v>-853446.74076871411</v>
      </c>
      <c r="S60" s="9">
        <f t="shared" si="18"/>
        <v>3313957.0189611325</v>
      </c>
    </row>
    <row r="61" spans="1:19" ht="19.5">
      <c r="A61" s="2">
        <f t="shared" si="7"/>
        <v>28</v>
      </c>
      <c r="B61" s="9">
        <f t="shared" si="8"/>
        <v>426935.85057125951</v>
      </c>
      <c r="C61" s="9">
        <f t="shared" si="14"/>
        <v>426510.89019745472</v>
      </c>
      <c r="D61" s="10">
        <f t="shared" si="15"/>
        <v>853446.74076871423</v>
      </c>
      <c r="L61" s="3">
        <f t="shared" si="0"/>
        <v>32</v>
      </c>
      <c r="M61" s="9">
        <f t="shared" si="6"/>
        <v>-853446.74076871411</v>
      </c>
      <c r="O61" s="3">
        <f t="shared" si="1"/>
        <v>32</v>
      </c>
      <c r="P61" s="9">
        <f t="shared" si="16"/>
        <v>3313957.0189611325</v>
      </c>
      <c r="Q61" s="9">
        <f t="shared" si="3"/>
        <v>300434.15074693208</v>
      </c>
      <c r="R61" s="70">
        <f t="shared" si="17"/>
        <v>-853446.74076871411</v>
      </c>
      <c r="S61" s="9">
        <f t="shared" si="18"/>
        <v>2760944.4289393509</v>
      </c>
    </row>
    <row r="62" spans="1:19" ht="19.5">
      <c r="A62" s="2">
        <f t="shared" si="7"/>
        <v>29</v>
      </c>
      <c r="B62" s="9">
        <f t="shared" si="8"/>
        <v>461090.71861696022</v>
      </c>
      <c r="C62" s="9">
        <f t="shared" si="14"/>
        <v>392356.02215175389</v>
      </c>
      <c r="D62" s="10">
        <f t="shared" si="15"/>
        <v>853446.74076871411</v>
      </c>
      <c r="L62" s="3">
        <f t="shared" si="0"/>
        <v>33</v>
      </c>
      <c r="M62" s="9">
        <f t="shared" si="6"/>
        <v>-853446.74076871411</v>
      </c>
      <c r="O62" s="3">
        <f t="shared" si="1"/>
        <v>33</v>
      </c>
      <c r="P62" s="9">
        <f t="shared" si="16"/>
        <v>2760944.4289393509</v>
      </c>
      <c r="Q62" s="9">
        <f t="shared" si="3"/>
        <v>250299.56333830042</v>
      </c>
      <c r="R62" s="70">
        <f t="shared" si="17"/>
        <v>-853446.74076871411</v>
      </c>
      <c r="S62" s="9">
        <f t="shared" si="18"/>
        <v>2157797.2515089372</v>
      </c>
    </row>
    <row r="63" spans="1:19" ht="19.5">
      <c r="A63" s="2">
        <f t="shared" si="7"/>
        <v>30</v>
      </c>
      <c r="B63" s="9">
        <f t="shared" si="8"/>
        <v>497977.97610631707</v>
      </c>
      <c r="C63" s="9">
        <f t="shared" si="14"/>
        <v>355468.76466239704</v>
      </c>
      <c r="D63" s="10">
        <f t="shared" si="15"/>
        <v>853446.74076871411</v>
      </c>
      <c r="L63" s="3">
        <f t="shared" si="0"/>
        <v>34</v>
      </c>
      <c r="M63" s="9">
        <f t="shared" si="6"/>
        <v>-853446.74076871411</v>
      </c>
      <c r="O63" s="3">
        <f t="shared" si="1"/>
        <v>34</v>
      </c>
      <c r="P63" s="9">
        <f t="shared" si="16"/>
        <v>2157797.2515089372</v>
      </c>
      <c r="Q63" s="9">
        <f t="shared" si="3"/>
        <v>195619.91330363569</v>
      </c>
      <c r="R63" s="70">
        <f t="shared" si="17"/>
        <v>-853446.74076871411</v>
      </c>
      <c r="S63" s="9">
        <f t="shared" si="18"/>
        <v>1499970.4240438587</v>
      </c>
    </row>
    <row r="64" spans="1:19" ht="20.25" thickBot="1">
      <c r="A64" s="2">
        <f t="shared" si="7"/>
        <v>31</v>
      </c>
      <c r="B64" s="9">
        <f t="shared" si="8"/>
        <v>537816.21419482247</v>
      </c>
      <c r="C64" s="9">
        <f t="shared" si="14"/>
        <v>315630.52657389169</v>
      </c>
      <c r="D64" s="10">
        <f t="shared" si="15"/>
        <v>853446.74076871411</v>
      </c>
      <c r="L64" s="3">
        <f t="shared" si="0"/>
        <v>35</v>
      </c>
      <c r="M64" s="9">
        <f t="shared" si="6"/>
        <v>-853446.74076871411</v>
      </c>
      <c r="O64" s="3">
        <f t="shared" si="1"/>
        <v>35</v>
      </c>
      <c r="P64" s="9">
        <f t="shared" si="16"/>
        <v>1499970.4240438587</v>
      </c>
      <c r="Q64" s="9">
        <f t="shared" si="3"/>
        <v>135983.15787282019</v>
      </c>
      <c r="R64" s="70">
        <f t="shared" si="17"/>
        <v>-853446.74076871411</v>
      </c>
      <c r="S64" s="9">
        <f t="shared" si="18"/>
        <v>782506.84114796482</v>
      </c>
    </row>
    <row r="65" spans="1:19" ht="20.25" thickBot="1">
      <c r="A65" s="2">
        <f t="shared" si="7"/>
        <v>32</v>
      </c>
      <c r="B65" s="9">
        <f t="shared" si="8"/>
        <v>580841.51133040816</v>
      </c>
      <c r="C65" s="9">
        <f t="shared" si="14"/>
        <v>272605.22943830589</v>
      </c>
      <c r="D65" s="10">
        <f t="shared" si="15"/>
        <v>853446.74076871411</v>
      </c>
      <c r="L65" s="3">
        <f t="shared" si="0"/>
        <v>36</v>
      </c>
      <c r="M65" s="9">
        <f t="shared" si="6"/>
        <v>-853446.74076871411</v>
      </c>
      <c r="O65" s="3">
        <f t="shared" si="1"/>
        <v>36</v>
      </c>
      <c r="P65" s="9">
        <f t="shared" si="16"/>
        <v>782506.84114796482</v>
      </c>
      <c r="Q65" s="9">
        <f t="shared" si="3"/>
        <v>70939.899621163597</v>
      </c>
      <c r="R65" s="70">
        <f t="shared" si="17"/>
        <v>-853446.74076871411</v>
      </c>
      <c r="S65" s="83">
        <f t="shared" si="18"/>
        <v>4.14322130382061E-7</v>
      </c>
    </row>
    <row r="66" spans="1:19" ht="19.5">
      <c r="A66" s="2">
        <f t="shared" si="7"/>
        <v>33</v>
      </c>
      <c r="B66" s="9">
        <f t="shared" si="8"/>
        <v>627308.83223684086</v>
      </c>
      <c r="C66" s="9">
        <f t="shared" si="14"/>
        <v>226137.90853187323</v>
      </c>
      <c r="D66" s="10">
        <f t="shared" si="15"/>
        <v>853446.74076871411</v>
      </c>
    </row>
    <row r="67" spans="1:19" ht="19.5">
      <c r="A67" s="2">
        <f t="shared" si="7"/>
        <v>34</v>
      </c>
      <c r="B67" s="9">
        <f t="shared" si="8"/>
        <v>677493.53881578823</v>
      </c>
      <c r="C67" s="9">
        <f t="shared" si="14"/>
        <v>175953.20195292597</v>
      </c>
      <c r="D67" s="10">
        <f t="shared" si="15"/>
        <v>853446.74076871423</v>
      </c>
    </row>
    <row r="68" spans="1:19" ht="19.5">
      <c r="A68" s="2">
        <f t="shared" si="7"/>
        <v>35</v>
      </c>
      <c r="B68" s="9">
        <f t="shared" si="8"/>
        <v>731693.0219210512</v>
      </c>
      <c r="C68" s="9">
        <f t="shared" si="14"/>
        <v>121753.71884766292</v>
      </c>
      <c r="D68" s="10">
        <f t="shared" si="15"/>
        <v>853446.74076871411</v>
      </c>
    </row>
    <row r="69" spans="1:19" ht="19.5">
      <c r="A69" s="2">
        <f t="shared" si="7"/>
        <v>36</v>
      </c>
      <c r="B69" s="9">
        <f t="shared" si="8"/>
        <v>790228.46367473528</v>
      </c>
      <c r="C69" s="9">
        <f t="shared" si="14"/>
        <v>63218.277093978824</v>
      </c>
      <c r="D69" s="10">
        <f t="shared" si="15"/>
        <v>853446.74076871411</v>
      </c>
    </row>
    <row r="70" spans="1:19" ht="19.5">
      <c r="B70" s="12">
        <f>SUM(B34:B69)</f>
        <v>10000000.000000002</v>
      </c>
      <c r="C70" s="12">
        <f>SUM(C34:C69)</f>
        <v>20724082.667673711</v>
      </c>
      <c r="D70" s="12">
        <f>SUM(D34:D69)</f>
        <v>30724082.667673733</v>
      </c>
    </row>
  </sheetData>
  <hyperlinks>
    <hyperlink ref="A2" r:id="rId1" xr:uid="{55012EB6-F8A3-4BE4-BAA6-E48EF133C7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2026-02-05T03:30:04Z</dcterms:created>
  <dcterms:modified xsi:type="dcterms:W3CDTF">2026-02-06T21:09:56Z</dcterms:modified>
</cp:coreProperties>
</file>