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78CD4547-44C4-4B5D-AA3A-F7223A804D89}" xr6:coauthVersionLast="47" xr6:coauthVersionMax="47" xr10:uidLastSave="{00000000-0000-0000-0000-000000000000}"/>
  <bookViews>
    <workbookView xWindow="-120" yWindow="-120" windowWidth="29040" windowHeight="15720" firstSheet="1" activeTab="1" xr2:uid="{F8CE1030-210E-473E-8CF3-F4398EEF388B}"/>
  </bookViews>
  <sheets>
    <sheet name="Hoja1 (2)" sheetId="2" state="hidden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 s="1"/>
  <c r="B14" i="2"/>
  <c r="B13" i="2"/>
  <c r="B12" i="2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10" i="2"/>
  <c r="E10" i="2"/>
  <c r="E11" i="2" s="1"/>
  <c r="C10" i="2"/>
  <c r="B10" i="2"/>
  <c r="K8" i="2"/>
  <c r="P2" i="2" s="1"/>
  <c r="V4" i="2" s="1"/>
  <c r="W5" i="2" s="1"/>
  <c r="B6" i="2"/>
  <c r="H5" i="2"/>
  <c r="W28" i="1"/>
  <c r="W27" i="1"/>
  <c r="W29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32" i="1"/>
  <c r="V24" i="1"/>
  <c r="W25" i="1" s="1"/>
  <c r="V20" i="1"/>
  <c r="W21" i="1" s="1"/>
  <c r="W17" i="1"/>
  <c r="W16" i="1"/>
  <c r="V12" i="1"/>
  <c r="W13" i="1" s="1"/>
  <c r="W9" i="1"/>
  <c r="V8" i="1"/>
  <c r="V4" i="1"/>
  <c r="W5" i="1" s="1"/>
  <c r="W15" i="1" s="1"/>
  <c r="M10" i="1"/>
  <c r="M11" i="1" s="1"/>
  <c r="K8" i="1"/>
  <c r="P2" i="1" s="1"/>
  <c r="E10" i="1"/>
  <c r="E11" i="1" s="1"/>
  <c r="H5" i="1"/>
  <c r="C15" i="2" l="1"/>
  <c r="C16" i="2" s="1"/>
  <c r="C14" i="2"/>
  <c r="C13" i="2"/>
  <c r="C12" i="2"/>
  <c r="E12" i="2"/>
  <c r="M12" i="1"/>
  <c r="E12" i="1"/>
  <c r="E13" i="2" l="1"/>
  <c r="M13" i="1"/>
  <c r="E13" i="1"/>
  <c r="E14" i="2" l="1"/>
  <c r="M14" i="1"/>
  <c r="E14" i="1"/>
  <c r="E15" i="2" l="1"/>
  <c r="M15" i="1"/>
  <c r="E15" i="1"/>
  <c r="E16" i="2" l="1"/>
  <c r="M16" i="1"/>
  <c r="E16" i="1"/>
  <c r="E17" i="2" l="1"/>
  <c r="M17" i="1"/>
  <c r="E17" i="1"/>
  <c r="E18" i="2" l="1"/>
  <c r="M18" i="1"/>
  <c r="E18" i="1"/>
  <c r="E19" i="2" l="1"/>
  <c r="M19" i="1"/>
  <c r="E19" i="1"/>
  <c r="E20" i="2" l="1"/>
  <c r="M20" i="1"/>
  <c r="E20" i="1"/>
  <c r="E21" i="2" l="1"/>
  <c r="M21" i="1"/>
  <c r="E21" i="1"/>
  <c r="E22" i="2" l="1"/>
  <c r="M22" i="1"/>
  <c r="E22" i="1"/>
  <c r="E23" i="2" l="1"/>
  <c r="M23" i="1"/>
  <c r="E23" i="1"/>
  <c r="E24" i="2" l="1"/>
  <c r="M24" i="1"/>
  <c r="E24" i="1"/>
  <c r="E25" i="2" l="1"/>
  <c r="M25" i="1"/>
  <c r="E25" i="1"/>
  <c r="E26" i="2" l="1"/>
  <c r="M26" i="1"/>
  <c r="E26" i="1"/>
  <c r="E27" i="2" l="1"/>
  <c r="M27" i="1"/>
  <c r="E27" i="1"/>
  <c r="E28" i="2" l="1"/>
  <c r="M28" i="1"/>
  <c r="E28" i="1"/>
  <c r="E29" i="2" l="1"/>
  <c r="M29" i="1"/>
  <c r="E29" i="1"/>
  <c r="E30" i="2" l="1"/>
  <c r="M30" i="1"/>
  <c r="E30" i="1"/>
  <c r="E31" i="2" l="1"/>
  <c r="M31" i="1"/>
  <c r="E31" i="1"/>
  <c r="E32" i="2" l="1"/>
  <c r="H31" i="2"/>
  <c r="M32" i="1"/>
  <c r="E32" i="1"/>
  <c r="G31" i="1" s="1"/>
  <c r="H9" i="2" l="1"/>
  <c r="H32" i="2"/>
  <c r="G32" i="2"/>
  <c r="I32" i="2" s="1"/>
  <c r="K32" i="2" s="1"/>
  <c r="G9" i="2"/>
  <c r="G11" i="2"/>
  <c r="I11" i="2" s="1"/>
  <c r="K11" i="2" s="1"/>
  <c r="H11" i="2"/>
  <c r="H10" i="2"/>
  <c r="G10" i="2"/>
  <c r="I10" i="2" s="1"/>
  <c r="K10" i="2" s="1"/>
  <c r="G12" i="2"/>
  <c r="H12" i="2"/>
  <c r="H13" i="2"/>
  <c r="G13" i="2"/>
  <c r="I13" i="2" s="1"/>
  <c r="K13" i="2" s="1"/>
  <c r="H14" i="2"/>
  <c r="G14" i="2"/>
  <c r="I14" i="2" s="1"/>
  <c r="K14" i="2" s="1"/>
  <c r="H15" i="2"/>
  <c r="G15" i="2"/>
  <c r="I15" i="2" s="1"/>
  <c r="K15" i="2" s="1"/>
  <c r="G16" i="2"/>
  <c r="I16" i="2" s="1"/>
  <c r="K16" i="2" s="1"/>
  <c r="H16" i="2"/>
  <c r="G17" i="2"/>
  <c r="H17" i="2"/>
  <c r="H18" i="2"/>
  <c r="G18" i="2"/>
  <c r="I18" i="2" s="1"/>
  <c r="K18" i="2" s="1"/>
  <c r="H19" i="2"/>
  <c r="G19" i="2"/>
  <c r="I19" i="2" s="1"/>
  <c r="K19" i="2" s="1"/>
  <c r="H20" i="2"/>
  <c r="G20" i="2"/>
  <c r="I20" i="2" s="1"/>
  <c r="K20" i="2" s="1"/>
  <c r="H21" i="2"/>
  <c r="G21" i="2"/>
  <c r="G22" i="2"/>
  <c r="I22" i="2" s="1"/>
  <c r="K22" i="2" s="1"/>
  <c r="H22" i="2"/>
  <c r="H23" i="2"/>
  <c r="G23" i="2"/>
  <c r="I23" i="2" s="1"/>
  <c r="K23" i="2" s="1"/>
  <c r="H24" i="2"/>
  <c r="G24" i="2"/>
  <c r="I24" i="2" s="1"/>
  <c r="K24" i="2" s="1"/>
  <c r="G25" i="2"/>
  <c r="H25" i="2"/>
  <c r="G26" i="2"/>
  <c r="H26" i="2"/>
  <c r="H27" i="2"/>
  <c r="G27" i="2"/>
  <c r="I27" i="2" s="1"/>
  <c r="K27" i="2" s="1"/>
  <c r="H28" i="2"/>
  <c r="G28" i="2"/>
  <c r="H29" i="2"/>
  <c r="G29" i="2"/>
  <c r="I29" i="2" s="1"/>
  <c r="K29" i="2" s="1"/>
  <c r="H30" i="2"/>
  <c r="G30" i="2"/>
  <c r="I30" i="2" s="1"/>
  <c r="K30" i="2" s="1"/>
  <c r="G31" i="2"/>
  <c r="I31" i="2" s="1"/>
  <c r="K31" i="2" s="1"/>
  <c r="G9" i="1"/>
  <c r="H32" i="1"/>
  <c r="G32" i="1"/>
  <c r="H9" i="1"/>
  <c r="H11" i="1"/>
  <c r="G10" i="1"/>
  <c r="G11" i="1"/>
  <c r="H10" i="1"/>
  <c r="H12" i="1"/>
  <c r="G12" i="1"/>
  <c r="H13" i="1"/>
  <c r="G13" i="1"/>
  <c r="G14" i="1"/>
  <c r="H14" i="1"/>
  <c r="G15" i="1"/>
  <c r="H15" i="1"/>
  <c r="G16" i="1"/>
  <c r="H16" i="1"/>
  <c r="G17" i="1"/>
  <c r="H17" i="1"/>
  <c r="H18" i="1"/>
  <c r="G18" i="1"/>
  <c r="H19" i="1"/>
  <c r="G19" i="1"/>
  <c r="I19" i="1" s="1"/>
  <c r="K19" i="1" s="1"/>
  <c r="H20" i="1"/>
  <c r="G20" i="1"/>
  <c r="G21" i="1"/>
  <c r="H21" i="1"/>
  <c r="H22" i="1"/>
  <c r="G22" i="1"/>
  <c r="H23" i="1"/>
  <c r="G23" i="1"/>
  <c r="I23" i="1" s="1"/>
  <c r="K23" i="1" s="1"/>
  <c r="H24" i="1"/>
  <c r="G24" i="1"/>
  <c r="H25" i="1"/>
  <c r="G25" i="1"/>
  <c r="I25" i="1" s="1"/>
  <c r="K25" i="1" s="1"/>
  <c r="H26" i="1"/>
  <c r="G26" i="1"/>
  <c r="G27" i="1"/>
  <c r="H27" i="1"/>
  <c r="H28" i="1"/>
  <c r="G28" i="1"/>
  <c r="H29" i="1"/>
  <c r="G29" i="1"/>
  <c r="I29" i="1" s="1"/>
  <c r="K29" i="1" s="1"/>
  <c r="H30" i="1"/>
  <c r="G30" i="1"/>
  <c r="I30" i="1" s="1"/>
  <c r="K30" i="1" s="1"/>
  <c r="H31" i="1"/>
  <c r="I31" i="1" s="1"/>
  <c r="K31" i="1" s="1"/>
  <c r="I32" i="1"/>
  <c r="K32" i="1" s="1"/>
  <c r="I14" i="1"/>
  <c r="K14" i="1" s="1"/>
  <c r="I17" i="2" l="1"/>
  <c r="K17" i="2" s="1"/>
  <c r="I28" i="2"/>
  <c r="K28" i="2" s="1"/>
  <c r="I12" i="2"/>
  <c r="K12" i="2" s="1"/>
  <c r="G33" i="2"/>
  <c r="I9" i="2"/>
  <c r="I25" i="2"/>
  <c r="K25" i="2" s="1"/>
  <c r="I21" i="2"/>
  <c r="K21" i="2" s="1"/>
  <c r="I26" i="2"/>
  <c r="K26" i="2" s="1"/>
  <c r="H33" i="2"/>
  <c r="I15" i="1"/>
  <c r="K15" i="1" s="1"/>
  <c r="H33" i="1"/>
  <c r="I24" i="1"/>
  <c r="K24" i="1" s="1"/>
  <c r="I12" i="1"/>
  <c r="K12" i="1" s="1"/>
  <c r="I11" i="1"/>
  <c r="K11" i="1" s="1"/>
  <c r="I16" i="1"/>
  <c r="K16" i="1" s="1"/>
  <c r="I10" i="1"/>
  <c r="K10" i="1" s="1"/>
  <c r="I28" i="1"/>
  <c r="K28" i="1" s="1"/>
  <c r="I21" i="1"/>
  <c r="K21" i="1" s="1"/>
  <c r="G33" i="1"/>
  <c r="I9" i="1"/>
  <c r="I18" i="1"/>
  <c r="K18" i="1" s="1"/>
  <c r="I17" i="1"/>
  <c r="K17" i="1" s="1"/>
  <c r="I22" i="1"/>
  <c r="K22" i="1" s="1"/>
  <c r="I27" i="1"/>
  <c r="K27" i="1" s="1"/>
  <c r="I26" i="1"/>
  <c r="K26" i="1" s="1"/>
  <c r="I20" i="1"/>
  <c r="K20" i="1" s="1"/>
  <c r="I13" i="1"/>
  <c r="K13" i="1" s="1"/>
  <c r="I33" i="2" l="1"/>
  <c r="K9" i="2"/>
  <c r="K7" i="2" s="1"/>
  <c r="P3" i="2" s="1"/>
  <c r="K9" i="1"/>
  <c r="I33" i="1"/>
  <c r="K7" i="1"/>
  <c r="P3" i="1" s="1"/>
  <c r="P31" i="2" l="1"/>
  <c r="O22" i="2"/>
  <c r="O31" i="2"/>
  <c r="Q31" i="2" s="1"/>
  <c r="Y31" i="2" s="1"/>
  <c r="P23" i="2"/>
  <c r="O23" i="2"/>
  <c r="Q23" i="2" s="1"/>
  <c r="Y23" i="2" s="1"/>
  <c r="P5" i="2"/>
  <c r="O32" i="2"/>
  <c r="Q32" i="2" s="1"/>
  <c r="Y32" i="2" s="1"/>
  <c r="P24" i="2"/>
  <c r="P16" i="2"/>
  <c r="P10" i="2"/>
  <c r="V20" i="2" s="1"/>
  <c r="W21" i="2" s="1"/>
  <c r="P9" i="2"/>
  <c r="P32" i="2"/>
  <c r="O24" i="2"/>
  <c r="P14" i="2"/>
  <c r="O10" i="2"/>
  <c r="O25" i="2"/>
  <c r="P18" i="2"/>
  <c r="O14" i="2"/>
  <c r="Q14" i="2" s="1"/>
  <c r="Y14" i="2" s="1"/>
  <c r="O18" i="2"/>
  <c r="Q18" i="2" s="1"/>
  <c r="Y18" i="2" s="1"/>
  <c r="P12" i="2"/>
  <c r="P19" i="2"/>
  <c r="O11" i="2"/>
  <c r="P28" i="2"/>
  <c r="O19" i="2"/>
  <c r="P20" i="2"/>
  <c r="O29" i="2"/>
  <c r="P21" i="2"/>
  <c r="O30" i="2"/>
  <c r="P22" i="2"/>
  <c r="P25" i="2"/>
  <c r="P17" i="2"/>
  <c r="O16" i="2"/>
  <c r="O9" i="2"/>
  <c r="P26" i="2"/>
  <c r="O17" i="2"/>
  <c r="Q17" i="2" s="1"/>
  <c r="Y17" i="2" s="1"/>
  <c r="O15" i="2"/>
  <c r="P13" i="2"/>
  <c r="O26" i="2"/>
  <c r="P11" i="2"/>
  <c r="P27" i="2"/>
  <c r="O12" i="2"/>
  <c r="O27" i="2"/>
  <c r="Q27" i="2" s="1"/>
  <c r="Y27" i="2" s="1"/>
  <c r="P29" i="2"/>
  <c r="O28" i="2"/>
  <c r="P30" i="2"/>
  <c r="O20" i="2"/>
  <c r="Q20" i="2" s="1"/>
  <c r="Y20" i="2" s="1"/>
  <c r="O21" i="2"/>
  <c r="Q21" i="2" s="1"/>
  <c r="Y21" i="2" s="1"/>
  <c r="P15" i="2"/>
  <c r="O13" i="2"/>
  <c r="Q13" i="2" s="1"/>
  <c r="Y13" i="2" s="1"/>
  <c r="P5" i="1"/>
  <c r="P31" i="1"/>
  <c r="O31" i="1"/>
  <c r="Q31" i="1" s="1"/>
  <c r="P9" i="1"/>
  <c r="O14" i="1"/>
  <c r="O20" i="1"/>
  <c r="Q20" i="1" s="1"/>
  <c r="O26" i="1"/>
  <c r="Q26" i="1" s="1"/>
  <c r="O15" i="1"/>
  <c r="P27" i="1"/>
  <c r="O9" i="1"/>
  <c r="P15" i="1"/>
  <c r="O27" i="1"/>
  <c r="Q27" i="1" s="1"/>
  <c r="P11" i="1"/>
  <c r="P16" i="1"/>
  <c r="P22" i="1"/>
  <c r="O16" i="1"/>
  <c r="Q16" i="1" s="1"/>
  <c r="O28" i="1"/>
  <c r="P29" i="1"/>
  <c r="O17" i="1"/>
  <c r="O29" i="1"/>
  <c r="Q29" i="1" s="1"/>
  <c r="O18" i="1"/>
  <c r="P30" i="1"/>
  <c r="P18" i="1"/>
  <c r="P19" i="1"/>
  <c r="O19" i="1"/>
  <c r="O32" i="1"/>
  <c r="P20" i="1"/>
  <c r="P32" i="1"/>
  <c r="P21" i="1"/>
  <c r="O21" i="1"/>
  <c r="Q21" i="1" s="1"/>
  <c r="P28" i="1"/>
  <c r="O11" i="1"/>
  <c r="Q11" i="1" s="1"/>
  <c r="O22" i="1"/>
  <c r="Q22" i="1" s="1"/>
  <c r="O10" i="1"/>
  <c r="Q10" i="1" s="1"/>
  <c r="P17" i="1"/>
  <c r="P23" i="1"/>
  <c r="P10" i="1"/>
  <c r="O23" i="1"/>
  <c r="O12" i="1"/>
  <c r="P24" i="1"/>
  <c r="P12" i="1"/>
  <c r="O24" i="1"/>
  <c r="Q24" i="1" s="1"/>
  <c r="O30" i="1"/>
  <c r="P13" i="1"/>
  <c r="P25" i="1"/>
  <c r="O13" i="1"/>
  <c r="Q13" i="1" s="1"/>
  <c r="O25" i="1"/>
  <c r="Q25" i="1" s="1"/>
  <c r="P14" i="1"/>
  <c r="P26" i="1"/>
  <c r="P33" i="2" l="1"/>
  <c r="V8" i="2"/>
  <c r="W9" i="2" s="1"/>
  <c r="O33" i="2"/>
  <c r="Q9" i="2"/>
  <c r="Q30" i="2"/>
  <c r="Y30" i="2" s="1"/>
  <c r="W16" i="2"/>
  <c r="Q10" i="2"/>
  <c r="Q16" i="2"/>
  <c r="Y16" i="2" s="1"/>
  <c r="Q25" i="2"/>
  <c r="Y25" i="2" s="1"/>
  <c r="Q29" i="2"/>
  <c r="Y29" i="2" s="1"/>
  <c r="Q24" i="2"/>
  <c r="Y24" i="2" s="1"/>
  <c r="Q22" i="2"/>
  <c r="Y22" i="2" s="1"/>
  <c r="Q11" i="2"/>
  <c r="Y11" i="2" s="1"/>
  <c r="W28" i="2"/>
  <c r="Q28" i="2"/>
  <c r="Y28" i="2" s="1"/>
  <c r="Q12" i="2"/>
  <c r="Y12" i="2" s="1"/>
  <c r="Q26" i="2"/>
  <c r="Y26" i="2" s="1"/>
  <c r="Q15" i="2"/>
  <c r="Y15" i="2" s="1"/>
  <c r="Q19" i="2"/>
  <c r="Y19" i="2" s="1"/>
  <c r="O33" i="1"/>
  <c r="Q9" i="1"/>
  <c r="Q30" i="1"/>
  <c r="Q14" i="1"/>
  <c r="P33" i="1"/>
  <c r="Q23" i="1"/>
  <c r="Q18" i="1"/>
  <c r="Q15" i="1"/>
  <c r="Q17" i="1"/>
  <c r="Q28" i="1"/>
  <c r="Q12" i="1"/>
  <c r="Q32" i="1"/>
  <c r="Q19" i="1"/>
  <c r="Q33" i="2" l="1"/>
  <c r="V12" i="2"/>
  <c r="W13" i="2" s="1"/>
  <c r="V24" i="2"/>
  <c r="W25" i="2" s="1"/>
  <c r="W17" i="2"/>
  <c r="W15" i="2"/>
  <c r="W27" i="2" s="1"/>
  <c r="W29" i="2"/>
  <c r="Q33" i="1"/>
  <c r="B6" i="1" l="1"/>
</calcChain>
</file>

<file path=xl/sharedStrings.xml><?xml version="1.0" encoding="utf-8"?>
<sst xmlns="http://schemas.openxmlformats.org/spreadsheetml/2006/main" count="214" uniqueCount="55">
  <si>
    <t>DE NIIF</t>
  </si>
  <si>
    <t>CERO POWERPOINT</t>
  </si>
  <si>
    <t>INICIA</t>
  </si>
  <si>
    <t>PRECIO OFICIAL      S/</t>
  </si>
  <si>
    <t>PRECIO OFICIAL      USD</t>
  </si>
  <si>
    <t>PRECIO TIK TOK</t>
  </si>
  <si>
    <t>PLAN DE PAGOS</t>
  </si>
  <si>
    <t>S/</t>
  </si>
  <si>
    <t>USD</t>
  </si>
  <si>
    <t xml:space="preserve">PRECIO OFICIAL      </t>
  </si>
  <si>
    <t xml:space="preserve">PRECIO OFICIAL     </t>
  </si>
  <si>
    <t>30 JUN- 20%</t>
  </si>
  <si>
    <t>15 JUL- 40%</t>
  </si>
  <si>
    <t>31 JUL- 10%</t>
  </si>
  <si>
    <t>31 AGO- 15%</t>
  </si>
  <si>
    <t>30 SEP- 15%</t>
  </si>
  <si>
    <t>ESTAS DE ACUERDO? COMENCEMOS HOY!!!</t>
  </si>
  <si>
    <t>DIPLOMADO  MAS PRACTICO</t>
  </si>
  <si>
    <t>25 DE JULIO</t>
  </si>
  <si>
    <t>MEDICION DE DEUDAS AL COSTO AMORTIZADO</t>
  </si>
  <si>
    <t>Mensaje a:</t>
  </si>
  <si>
    <t>PRESTAMO</t>
  </si>
  <si>
    <t>TASA</t>
  </si>
  <si>
    <t>PLAZO</t>
  </si>
  <si>
    <t>PAGO</t>
  </si>
  <si>
    <t>PRINCIPAL</t>
  </si>
  <si>
    <t>INTERESES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</si>
  <si>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</si>
  <si>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</si>
  <si>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</si>
  <si>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</si>
  <si>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</si>
  <si>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</si>
  <si>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</si>
  <si>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</si>
  <si>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</si>
  <si>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</si>
  <si>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</si>
  <si>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</si>
  <si>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COMISION DE DESEMBOLSO</t>
  </si>
  <si>
    <t>SUSTANCIA SOBRE FORMA</t>
  </si>
  <si>
    <t>BANCO MENTIROSO</t>
  </si>
  <si>
    <t xml:space="preserve">Sustancia </t>
  </si>
  <si>
    <t xml:space="preserve">antes que a </t>
  </si>
  <si>
    <t>la forma</t>
  </si>
  <si>
    <t>Efectivo</t>
  </si>
  <si>
    <t>Prestamo por pagar</t>
  </si>
  <si>
    <t>D</t>
  </si>
  <si>
    <t>H</t>
  </si>
  <si>
    <t>Reconocimiento inicial</t>
  </si>
  <si>
    <t>Mes 1:</t>
  </si>
  <si>
    <t>Gastos financieros</t>
  </si>
  <si>
    <t>Mes 2:</t>
  </si>
  <si>
    <t>APOYO AL COLEGA HASTA 10 DE JUNIO</t>
  </si>
  <si>
    <t>DESCUENTO TIK 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</si>
</sst>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i/>
      <sz val="16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0" fontId="3" fillId="3" borderId="0" xfId="0" applyFont="1" applyFill="1"/>
    <xf numFmtId="16" fontId="4" fillId="3" borderId="0" xfId="0" applyNumberFormat="1" applyFont="1" applyFill="1"/>
    <xf numFmtId="0" fontId="5" fillId="2" borderId="0" xfId="0" applyFont="1" applyFill="1"/>
    <xf numFmtId="0" fontId="6" fillId="0" borderId="0" xfId="0" applyFont="1"/>
    <xf numFmtId="0" fontId="7" fillId="4" borderId="0" xfId="0" applyFont="1" applyFill="1"/>
    <xf numFmtId="3" fontId="7" fillId="4" borderId="0" xfId="0" applyNumberFormat="1" applyFont="1" applyFill="1"/>
    <xf numFmtId="0" fontId="6" fillId="5" borderId="0" xfId="0" applyFont="1" applyFill="1"/>
    <xf numFmtId="0" fontId="8" fillId="5" borderId="0" xfId="0" applyFont="1" applyFill="1"/>
    <xf numFmtId="16" fontId="7" fillId="6" borderId="0" xfId="0" applyNumberFormat="1" applyFont="1" applyFill="1"/>
    <xf numFmtId="9" fontId="7" fillId="6" borderId="0" xfId="0" applyNumberFormat="1" applyFont="1" applyFill="1"/>
    <xf numFmtId="0" fontId="7" fillId="4" borderId="0" xfId="0" applyFont="1" applyFill="1" applyAlignment="1">
      <alignment horizontal="center"/>
    </xf>
    <xf numFmtId="0" fontId="6" fillId="7" borderId="0" xfId="0" applyFont="1" applyFill="1"/>
    <xf numFmtId="164" fontId="6" fillId="7" borderId="0" xfId="1" applyNumberFormat="1" applyFont="1" applyFill="1"/>
    <xf numFmtId="0" fontId="6" fillId="8" borderId="0" xfId="0" applyFont="1" applyFill="1"/>
    <xf numFmtId="0" fontId="9" fillId="8" borderId="0" xfId="0" applyFont="1" applyFill="1"/>
    <xf numFmtId="16" fontId="4" fillId="3" borderId="0" xfId="0" applyNumberFormat="1" applyFont="1" applyFill="1" applyAlignment="1">
      <alignment horizontal="right"/>
    </xf>
    <xf numFmtId="0" fontId="0" fillId="8" borderId="0" xfId="0" applyFill="1"/>
    <xf numFmtId="164" fontId="10" fillId="0" borderId="0" xfId="1" applyNumberFormat="1" applyFont="1"/>
    <xf numFmtId="164" fontId="2" fillId="0" borderId="0" xfId="1" applyNumberFormat="1" applyFont="1"/>
    <xf numFmtId="0" fontId="9" fillId="5" borderId="0" xfId="0" applyFont="1" applyFill="1"/>
    <xf numFmtId="164" fontId="11" fillId="5" borderId="0" xfId="1" applyNumberFormat="1" applyFont="1" applyFill="1"/>
    <xf numFmtId="164" fontId="12" fillId="5" borderId="0" xfId="1" applyNumberFormat="1" applyFont="1" applyFill="1"/>
    <xf numFmtId="164" fontId="10" fillId="9" borderId="0" xfId="1" applyNumberFormat="1" applyFont="1" applyFill="1" applyBorder="1"/>
    <xf numFmtId="164" fontId="10" fillId="9" borderId="6" xfId="1" applyNumberFormat="1" applyFont="1" applyFill="1" applyBorder="1"/>
    <xf numFmtId="164" fontId="10" fillId="9" borderId="8" xfId="1" applyNumberFormat="1" applyFont="1" applyFill="1" applyBorder="1"/>
    <xf numFmtId="164" fontId="2" fillId="10" borderId="4" xfId="1" applyNumberFormat="1" applyFont="1" applyFill="1" applyBorder="1"/>
    <xf numFmtId="164" fontId="2" fillId="10" borderId="5" xfId="1" applyNumberFormat="1" applyFont="1" applyFill="1" applyBorder="1"/>
    <xf numFmtId="164" fontId="2" fillId="10" borderId="0" xfId="1" applyNumberFormat="1" applyFont="1" applyFill="1" applyBorder="1"/>
    <xf numFmtId="164" fontId="2" fillId="10" borderId="6" xfId="1" applyNumberFormat="1" applyFont="1" applyFill="1" applyBorder="1"/>
    <xf numFmtId="164" fontId="10" fillId="10" borderId="0" xfId="1" applyNumberFormat="1" applyFont="1" applyFill="1" applyBorder="1"/>
    <xf numFmtId="164" fontId="10" fillId="10" borderId="6" xfId="1" applyNumberFormat="1" applyFont="1" applyFill="1" applyBorder="1"/>
    <xf numFmtId="164" fontId="2" fillId="10" borderId="8" xfId="1" applyNumberFormat="1" applyFont="1" applyFill="1" applyBorder="1"/>
    <xf numFmtId="164" fontId="2" fillId="10" borderId="7" xfId="1" applyNumberFormat="1" applyFont="1" applyFill="1" applyBorder="1"/>
    <xf numFmtId="164" fontId="10" fillId="10" borderId="2" xfId="1" applyNumberFormat="1" applyFont="1" applyFill="1" applyBorder="1"/>
    <xf numFmtId="164" fontId="10" fillId="10" borderId="3" xfId="1" applyNumberFormat="1" applyFont="1" applyFill="1" applyBorder="1"/>
    <xf numFmtId="164" fontId="10" fillId="10" borderId="5" xfId="1" applyNumberFormat="1" applyFont="1" applyFill="1" applyBorder="1"/>
    <xf numFmtId="165" fontId="10" fillId="10" borderId="0" xfId="2" applyNumberFormat="1" applyFont="1" applyFill="1" applyBorder="1"/>
    <xf numFmtId="164" fontId="14" fillId="0" borderId="0" xfId="1" applyNumberFormat="1" applyFont="1"/>
    <xf numFmtId="164" fontId="15" fillId="0" borderId="0" xfId="1" applyNumberFormat="1" applyFont="1"/>
    <xf numFmtId="164" fontId="10" fillId="11" borderId="10" xfId="1" applyNumberFormat="1" applyFont="1" applyFill="1" applyBorder="1"/>
    <xf numFmtId="164" fontId="10" fillId="11" borderId="11" xfId="1" applyNumberFormat="1" applyFont="1" applyFill="1" applyBorder="1"/>
    <xf numFmtId="164" fontId="10" fillId="11" borderId="12" xfId="1" applyNumberFormat="1" applyFont="1" applyFill="1" applyBorder="1"/>
    <xf numFmtId="165" fontId="10" fillId="6" borderId="1" xfId="2" applyNumberFormat="1" applyFont="1" applyFill="1" applyBorder="1"/>
    <xf numFmtId="164" fontId="10" fillId="12" borderId="5" xfId="1" applyNumberFormat="1" applyFont="1" applyFill="1" applyBorder="1"/>
    <xf numFmtId="164" fontId="10" fillId="12" borderId="0" xfId="1" applyNumberFormat="1" applyFont="1" applyFill="1" applyBorder="1"/>
    <xf numFmtId="165" fontId="10" fillId="12" borderId="0" xfId="2" applyNumberFormat="1" applyFont="1" applyFill="1" applyBorder="1"/>
    <xf numFmtId="164" fontId="2" fillId="12" borderId="6" xfId="1" applyNumberFormat="1" applyFont="1" applyFill="1" applyBorder="1"/>
    <xf numFmtId="164" fontId="2" fillId="12" borderId="5" xfId="1" applyNumberFormat="1" applyFont="1" applyFill="1" applyBorder="1"/>
    <xf numFmtId="164" fontId="2" fillId="12" borderId="0" xfId="1" applyNumberFormat="1" applyFont="1" applyFill="1" applyBorder="1"/>
    <xf numFmtId="164" fontId="10" fillId="12" borderId="6" xfId="1" applyNumberFormat="1" applyFont="1" applyFill="1" applyBorder="1"/>
    <xf numFmtId="164" fontId="2" fillId="12" borderId="7" xfId="1" applyNumberFormat="1" applyFont="1" applyFill="1" applyBorder="1"/>
    <xf numFmtId="164" fontId="2" fillId="12" borderId="8" xfId="1" applyNumberFormat="1" applyFont="1" applyFill="1" applyBorder="1"/>
    <xf numFmtId="164" fontId="10" fillId="4" borderId="6" xfId="1" applyNumberFormat="1" applyFont="1" applyFill="1" applyBorder="1"/>
    <xf numFmtId="164" fontId="10" fillId="13" borderId="2" xfId="1" applyNumberFormat="1" applyFont="1" applyFill="1" applyBorder="1"/>
    <xf numFmtId="164" fontId="10" fillId="13" borderId="3" xfId="1" applyNumberFormat="1" applyFont="1" applyFill="1" applyBorder="1"/>
    <xf numFmtId="164" fontId="2" fillId="13" borderId="4" xfId="1" applyNumberFormat="1" applyFont="1" applyFill="1" applyBorder="1"/>
    <xf numFmtId="164" fontId="10" fillId="13" borderId="5" xfId="1" applyNumberFormat="1" applyFont="1" applyFill="1" applyBorder="1"/>
    <xf numFmtId="164" fontId="10" fillId="13" borderId="0" xfId="1" applyNumberFormat="1" applyFont="1" applyFill="1" applyBorder="1"/>
    <xf numFmtId="165" fontId="10" fillId="13" borderId="0" xfId="2" applyNumberFormat="1" applyFont="1" applyFill="1" applyBorder="1"/>
    <xf numFmtId="164" fontId="2" fillId="13" borderId="6" xfId="1" applyNumberFormat="1" applyFont="1" applyFill="1" applyBorder="1"/>
    <xf numFmtId="164" fontId="10" fillId="12" borderId="9" xfId="1" applyNumberFormat="1" applyFont="1" applyFill="1" applyBorder="1"/>
    <xf numFmtId="164" fontId="11" fillId="8" borderId="13" xfId="1" applyNumberFormat="1" applyFont="1" applyFill="1" applyBorder="1"/>
    <xf numFmtId="164" fontId="12" fillId="8" borderId="14" xfId="1" applyNumberFormat="1" applyFont="1" applyFill="1" applyBorder="1"/>
    <xf numFmtId="164" fontId="12" fillId="8" borderId="15" xfId="1" applyNumberFormat="1" applyFont="1" applyFill="1" applyBorder="1"/>
    <xf numFmtId="164" fontId="11" fillId="14" borderId="8" xfId="1" applyNumberFormat="1" applyFont="1" applyFill="1" applyBorder="1"/>
    <xf numFmtId="164" fontId="11" fillId="5" borderId="8" xfId="1" applyNumberFormat="1" applyFont="1" applyFill="1" applyBorder="1"/>
    <xf numFmtId="164" fontId="10" fillId="9" borderId="1" xfId="1" applyNumberFormat="1" applyFont="1" applyFill="1" applyBorder="1"/>
    <xf numFmtId="164" fontId="10" fillId="4" borderId="1" xfId="1" applyNumberFormat="1" applyFont="1" applyFill="1" applyBorder="1"/>
    <xf numFmtId="164" fontId="11" fillId="14" borderId="5" xfId="1" applyNumberFormat="1" applyFont="1" applyFill="1" applyBorder="1"/>
    <xf numFmtId="164" fontId="12" fillId="14" borderId="0" xfId="1" applyNumberFormat="1" applyFont="1" applyFill="1" applyBorder="1"/>
    <xf numFmtId="164" fontId="11" fillId="14" borderId="0" xfId="1" applyNumberFormat="1" applyFont="1" applyFill="1" applyBorder="1"/>
    <xf numFmtId="164" fontId="11" fillId="14" borderId="6" xfId="1" applyNumberFormat="1" applyFont="1" applyFill="1" applyBorder="1"/>
    <xf numFmtId="164" fontId="16" fillId="0" borderId="0" xfId="1" applyNumberFormat="1" applyFont="1"/>
    <xf numFmtId="164" fontId="2" fillId="9" borderId="0" xfId="1" applyNumberFormat="1" applyFont="1" applyFill="1"/>
    <xf numFmtId="164" fontId="11" fillId="15" borderId="0" xfId="1" applyNumberFormat="1" applyFont="1" applyFill="1"/>
    <xf numFmtId="164" fontId="11" fillId="15" borderId="0" xfId="1" applyNumberFormat="1" applyFont="1" applyFill="1" applyAlignment="1">
      <alignment horizontal="center"/>
    </xf>
    <xf numFmtId="164" fontId="16" fillId="9" borderId="0" xfId="1" applyNumberFormat="1" applyFont="1" applyFill="1"/>
    <xf numFmtId="164" fontId="11" fillId="16" borderId="13" xfId="1" applyNumberFormat="1" applyFont="1" applyFill="1" applyBorder="1"/>
    <xf numFmtId="164" fontId="11" fillId="16" borderId="14" xfId="1" applyNumberFormat="1" applyFont="1" applyFill="1" applyBorder="1"/>
    <xf numFmtId="164" fontId="11" fillId="16" borderId="15" xfId="1" applyNumberFormat="1" applyFont="1" applyFill="1" applyBorder="1"/>
    <xf numFmtId="164" fontId="10" fillId="17" borderId="6" xfId="1" applyNumberFormat="1" applyFont="1" applyFill="1" applyBorder="1"/>
    <xf numFmtId="164" fontId="10" fillId="17" borderId="0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444875</xdr:colOff>
      <xdr:row>18</xdr:row>
      <xdr:rowOff>170329</xdr:rowOff>
    </xdr:from>
    <xdr:to>
      <xdr:col>2</xdr:col>
      <xdr:colOff>597728</xdr:colOff>
      <xdr:row>30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50565-E62B-4CAB-84D6-8DFCDF75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75" y="4809004"/>
          <a:ext cx="2819853" cy="2814918"/>
        </a:xfrm>
        <a:prstGeom prst="rect">
          <a:avLst/>
        </a:prstGeom>
      </xdr:spPr>
    </xdr:pic>
    <xdr:clientData/>
  </xdr:twoCellAnchor>
  <xdr:twoCellAnchor editAs="oneCell">
    <xdr:from>
      <xdr:col>34</xdr:col>
      <xdr:colOff>179292</xdr:colOff>
      <xdr:row>3</xdr:row>
      <xdr:rowOff>28586</xdr:rowOff>
    </xdr:from>
    <xdr:to>
      <xdr:col>44</xdr:col>
      <xdr:colOff>168087</xdr:colOff>
      <xdr:row>29</xdr:row>
      <xdr:rowOff>190822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C8444F-C009-43FC-AC9B-8D16594C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30242" y="923936"/>
          <a:ext cx="7608795" cy="6563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310405</xdr:colOff>
      <xdr:row>9</xdr:row>
      <xdr:rowOff>125506</xdr:rowOff>
    </xdr:from>
    <xdr:to>
      <xdr:col>2</xdr:col>
      <xdr:colOff>463258</xdr:colOff>
      <xdr:row>21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6C7D77-C9D7-4C17-AFC8-1FC656DB1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05" y="2568388"/>
          <a:ext cx="2819853" cy="2788024"/>
        </a:xfrm>
        <a:prstGeom prst="rect">
          <a:avLst/>
        </a:prstGeom>
      </xdr:spPr>
    </xdr:pic>
    <xdr:clientData/>
  </xdr:twoCellAnchor>
  <xdr:twoCellAnchor editAs="oneCell">
    <xdr:from>
      <xdr:col>29</xdr:col>
      <xdr:colOff>100851</xdr:colOff>
      <xdr:row>2</xdr:row>
      <xdr:rowOff>163056</xdr:rowOff>
    </xdr:from>
    <xdr:to>
      <xdr:col>39</xdr:col>
      <xdr:colOff>89646</xdr:colOff>
      <xdr:row>29</xdr:row>
      <xdr:rowOff>33939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4726D7-DEEF-4ADF-B43E-3FD79406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9645" y="756968"/>
          <a:ext cx="7608795" cy="651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D5B3-9E01-4FAA-8C65-EEC694F8ED73}">
  <dimension ref="A1:Y33"/>
  <sheetViews>
    <sheetView zoomScale="85" zoomScaleNormal="85" workbookViewId="0">
      <pane xSplit="3" topLeftCell="L1" activePane="topRight" state="frozen"/>
      <selection pane="topRight" sqref="A1:C19"/>
    </sheetView>
  </sheetViews>
  <sheetFormatPr baseColWidth="10" defaultRowHeight="18.75" x14ac:dyDescent="0.3"/>
  <cols>
    <col min="1" max="1" width="25.5703125" style="5" bestFit="1" customWidth="1"/>
    <col min="2" max="3" width="14.42578125" style="5" customWidth="1"/>
    <col min="4" max="4" width="2.140625" style="5" customWidth="1"/>
    <col min="5" max="5" width="15.42578125" style="20" customWidth="1"/>
    <col min="6" max="6" width="15.140625" style="20" bestFit="1" customWidth="1"/>
    <col min="7" max="7" width="14.140625" style="20" customWidth="1"/>
    <col min="8" max="9" width="14.42578125" style="20" bestFit="1" customWidth="1"/>
    <col min="10" max="10" width="1.85546875" style="20" customWidth="1"/>
    <col min="11" max="11" width="17.42578125" style="20" bestFit="1" customWidth="1"/>
    <col min="12" max="12" width="1.85546875" style="20" customWidth="1"/>
    <col min="13" max="14" width="11.42578125" style="20"/>
    <col min="15" max="15" width="15" style="20" bestFit="1" customWidth="1"/>
    <col min="16" max="16" width="16" style="20" customWidth="1"/>
    <col min="17" max="17" width="14.42578125" style="20" bestFit="1" customWidth="1"/>
    <col min="18" max="18" width="1.85546875" style="20" customWidth="1"/>
    <col min="19" max="21" width="11.42578125" style="20"/>
    <col min="22" max="23" width="12.28515625" style="20" bestFit="1" customWidth="1"/>
    <col min="24" max="24" width="2.140625" style="20" customWidth="1"/>
    <col min="25" max="25" width="14.42578125" style="20" bestFit="1" customWidth="1"/>
    <col min="26" max="16384" width="11.42578125" style="20"/>
  </cols>
  <sheetData>
    <row r="1" spans="1:25" s="23" customFormat="1" ht="24" thickBot="1" x14ac:dyDescent="0.4">
      <c r="A1" s="4" t="s">
        <v>17</v>
      </c>
      <c r="B1" s="1"/>
      <c r="C1" s="1"/>
      <c r="D1" s="18"/>
      <c r="E1" s="22" t="s">
        <v>19</v>
      </c>
      <c r="F1" s="22"/>
      <c r="M1" s="63" t="s">
        <v>40</v>
      </c>
      <c r="N1" s="64"/>
      <c r="O1" s="64"/>
      <c r="P1" s="64"/>
      <c r="Q1" s="65"/>
    </row>
    <row r="2" spans="1:25" ht="23.25" x14ac:dyDescent="0.35">
      <c r="A2" s="4" t="s">
        <v>0</v>
      </c>
      <c r="B2" s="1"/>
      <c r="C2" s="1"/>
      <c r="D2" s="18"/>
      <c r="E2" s="35" t="s">
        <v>21</v>
      </c>
      <c r="F2" s="36"/>
      <c r="G2" s="36"/>
      <c r="H2" s="36">
        <v>1000000</v>
      </c>
      <c r="I2" s="27"/>
      <c r="K2" s="39" t="s">
        <v>42</v>
      </c>
      <c r="L2" s="40"/>
      <c r="M2" s="55" t="s">
        <v>21</v>
      </c>
      <c r="N2" s="56"/>
      <c r="O2" s="56"/>
      <c r="P2" s="56">
        <f>+K8</f>
        <v>900000</v>
      </c>
      <c r="Q2" s="57"/>
      <c r="R2" s="40"/>
      <c r="S2" s="19" t="s">
        <v>49</v>
      </c>
    </row>
    <row r="3" spans="1:25" ht="23.25" x14ac:dyDescent="0.35">
      <c r="A3" s="4" t="s">
        <v>1</v>
      </c>
      <c r="B3" s="1"/>
      <c r="C3" s="1"/>
      <c r="D3" s="18"/>
      <c r="E3" s="37" t="s">
        <v>22</v>
      </c>
      <c r="F3" s="31"/>
      <c r="G3" s="31"/>
      <c r="H3" s="38">
        <v>0.01</v>
      </c>
      <c r="I3" s="30"/>
      <c r="K3" s="74" t="s">
        <v>43</v>
      </c>
      <c r="M3" s="58" t="s">
        <v>22</v>
      </c>
      <c r="N3" s="59"/>
      <c r="O3" s="59"/>
      <c r="P3" s="60">
        <f>+K7</f>
        <v>1.9050054238365588E-2</v>
      </c>
      <c r="Q3" s="61"/>
      <c r="S3" s="76"/>
      <c r="T3" s="76"/>
      <c r="U3" s="76"/>
      <c r="V3" s="77" t="s">
        <v>47</v>
      </c>
      <c r="W3" s="77" t="s">
        <v>48</v>
      </c>
    </row>
    <row r="4" spans="1:25" ht="26.25" x14ac:dyDescent="0.4">
      <c r="A4" s="2" t="s">
        <v>2</v>
      </c>
      <c r="B4" s="3"/>
      <c r="C4" s="17" t="s">
        <v>18</v>
      </c>
      <c r="D4" s="18"/>
      <c r="E4" s="28" t="s">
        <v>23</v>
      </c>
      <c r="F4" s="29"/>
      <c r="G4" s="29"/>
      <c r="H4" s="29">
        <v>24</v>
      </c>
      <c r="I4" s="30"/>
      <c r="K4" s="74" t="s">
        <v>44</v>
      </c>
      <c r="M4" s="58" t="s">
        <v>23</v>
      </c>
      <c r="N4" s="59"/>
      <c r="O4" s="59"/>
      <c r="P4" s="59">
        <v>24</v>
      </c>
      <c r="Q4" s="61"/>
      <c r="S4" s="75" t="s">
        <v>45</v>
      </c>
      <c r="T4" s="75"/>
      <c r="U4" s="75"/>
      <c r="V4" s="75">
        <f>+P2</f>
        <v>900000</v>
      </c>
      <c r="W4" s="75"/>
    </row>
    <row r="5" spans="1:25" x14ac:dyDescent="0.3">
      <c r="A5" s="6" t="s">
        <v>3</v>
      </c>
      <c r="B5" s="7">
        <v>2000</v>
      </c>
      <c r="C5" s="7"/>
      <c r="D5" s="15"/>
      <c r="E5" s="28" t="s">
        <v>24</v>
      </c>
      <c r="F5" s="29"/>
      <c r="G5" s="29"/>
      <c r="H5" s="24">
        <f>PMT(H3,H4,-H2,0,0)</f>
        <v>47073.472223264704</v>
      </c>
      <c r="I5" s="30"/>
      <c r="M5" s="58" t="s">
        <v>24</v>
      </c>
      <c r="N5" s="59"/>
      <c r="O5" s="59"/>
      <c r="P5" s="59">
        <f>PMT(P3,P4,-P2,0,0)</f>
        <v>47073.472223264791</v>
      </c>
      <c r="Q5" s="61"/>
      <c r="S5" s="75" t="s">
        <v>46</v>
      </c>
      <c r="T5" s="75"/>
      <c r="U5" s="75"/>
      <c r="V5" s="75"/>
      <c r="W5" s="75">
        <f>+V4</f>
        <v>900000</v>
      </c>
    </row>
    <row r="6" spans="1:25" ht="19.5" thickBot="1" x14ac:dyDescent="0.35">
      <c r="A6" s="6" t="s">
        <v>4</v>
      </c>
      <c r="B6" s="7">
        <f>+B5/3.7</f>
        <v>540.54054054054052</v>
      </c>
      <c r="C6" s="7"/>
      <c r="D6" s="15"/>
      <c r="E6" s="37" t="s">
        <v>39</v>
      </c>
      <c r="F6" s="31"/>
      <c r="G6" s="31"/>
      <c r="H6" s="38">
        <v>0.1</v>
      </c>
      <c r="I6" s="30"/>
      <c r="M6" s="45"/>
      <c r="N6" s="46"/>
      <c r="O6" s="46"/>
      <c r="P6" s="47"/>
      <c r="Q6" s="48"/>
    </row>
    <row r="7" spans="1:25" ht="19.5" thickBot="1" x14ac:dyDescent="0.35">
      <c r="A7" s="21" t="s">
        <v>53</v>
      </c>
      <c r="B7" s="9"/>
      <c r="C7" s="9"/>
      <c r="D7" s="15"/>
      <c r="E7" s="70" t="s">
        <v>41</v>
      </c>
      <c r="F7" s="71"/>
      <c r="G7" s="72" t="s">
        <v>25</v>
      </c>
      <c r="H7" s="72" t="s">
        <v>26</v>
      </c>
      <c r="I7" s="73" t="s">
        <v>24</v>
      </c>
      <c r="K7" s="44">
        <f>IRR(K8:K32)</f>
        <v>1.9050054238365588E-2</v>
      </c>
      <c r="M7" s="49"/>
      <c r="N7" s="50"/>
      <c r="O7" s="46" t="s">
        <v>25</v>
      </c>
      <c r="P7" s="46" t="s">
        <v>26</v>
      </c>
      <c r="Q7" s="51" t="s">
        <v>24</v>
      </c>
      <c r="S7" s="78" t="s">
        <v>50</v>
      </c>
      <c r="T7" s="78"/>
      <c r="U7" s="78"/>
      <c r="V7" s="78"/>
      <c r="W7" s="78"/>
    </row>
    <row r="8" spans="1:25" ht="19.5" thickBot="1" x14ac:dyDescent="0.35">
      <c r="A8" s="10" t="s">
        <v>5</v>
      </c>
      <c r="B8" s="11"/>
      <c r="C8" s="11">
        <v>0.3</v>
      </c>
      <c r="D8" s="15"/>
      <c r="E8" s="28"/>
      <c r="F8" s="29"/>
      <c r="G8" s="31"/>
      <c r="H8" s="31"/>
      <c r="I8" s="32"/>
      <c r="K8" s="41">
        <f>H2*(1-H6)</f>
        <v>900000</v>
      </c>
      <c r="M8" s="49"/>
      <c r="N8" s="50"/>
      <c r="O8" s="46"/>
      <c r="P8" s="46"/>
      <c r="Q8" s="51"/>
      <c r="S8" s="75" t="s">
        <v>51</v>
      </c>
      <c r="T8" s="75"/>
      <c r="U8" s="75"/>
      <c r="V8" s="75">
        <f>+P9</f>
        <v>17145.048814529029</v>
      </c>
      <c r="W8" s="75"/>
    </row>
    <row r="9" spans="1:25" ht="19.5" thickBot="1" x14ac:dyDescent="0.35">
      <c r="A9" s="6" t="s">
        <v>9</v>
      </c>
      <c r="B9" s="12" t="s">
        <v>7</v>
      </c>
      <c r="C9" s="12" t="s">
        <v>8</v>
      </c>
      <c r="D9" s="15"/>
      <c r="E9" s="28">
        <v>1</v>
      </c>
      <c r="F9" s="29" t="s">
        <v>27</v>
      </c>
      <c r="G9" s="29">
        <f>-PPMT(H3,E9,E32,H2,0,0)</f>
        <v>37073.472223264704</v>
      </c>
      <c r="H9" s="29">
        <f>-IPMT(H3,E9,E32,H2,0,0)</f>
        <v>10000.000000000002</v>
      </c>
      <c r="I9" s="68">
        <f>+G9+H9</f>
        <v>47073.472223264704</v>
      </c>
      <c r="K9" s="42">
        <f>-I9</f>
        <v>-47073.472223264704</v>
      </c>
      <c r="M9" s="49">
        <v>1</v>
      </c>
      <c r="N9" s="50" t="s">
        <v>27</v>
      </c>
      <c r="O9" s="50">
        <f>-PPMT(P3,M9,M32,P2,0,0)</f>
        <v>29928.423408735762</v>
      </c>
      <c r="P9" s="50">
        <f>-IPMT(P3,M9,M32,P2,0,0)</f>
        <v>17145.048814529029</v>
      </c>
      <c r="Q9" s="69">
        <f>+O9+P9</f>
        <v>47073.472223264791</v>
      </c>
      <c r="S9" s="75" t="s">
        <v>46</v>
      </c>
      <c r="T9" s="75"/>
      <c r="U9" s="75"/>
      <c r="V9" s="75"/>
      <c r="W9" s="75">
        <f>+V8</f>
        <v>17145.048814529029</v>
      </c>
    </row>
    <row r="10" spans="1:25" x14ac:dyDescent="0.3">
      <c r="A10" s="6" t="s">
        <v>10</v>
      </c>
      <c r="B10" s="7">
        <f>+B5*(1-C8)</f>
        <v>1400</v>
      </c>
      <c r="C10" s="7">
        <f>+B10/3.7</f>
        <v>378.37837837837839</v>
      </c>
      <c r="D10" s="15"/>
      <c r="E10" s="28">
        <f>+E9+1</f>
        <v>2</v>
      </c>
      <c r="F10" s="29" t="s">
        <v>28</v>
      </c>
      <c r="G10" s="29">
        <f>-PPMT(H3,E10,E32,H2,0,0)</f>
        <v>37444.206945497353</v>
      </c>
      <c r="H10" s="29">
        <f>-IPMT(H3,E10,E32,H2,0,0)</f>
        <v>9629.2652777673538</v>
      </c>
      <c r="I10" s="25">
        <f>+G10+H10</f>
        <v>47073.472223264704</v>
      </c>
      <c r="K10" s="42">
        <f t="shared" ref="K10:K32" si="0">-I10</f>
        <v>-47073.472223264704</v>
      </c>
      <c r="M10" s="49">
        <f>+M9+1</f>
        <v>2</v>
      </c>
      <c r="N10" s="50" t="s">
        <v>28</v>
      </c>
      <c r="O10" s="50">
        <f>-PPMT(P3,M10,M32,P2,0,0)</f>
        <v>30498.561497940951</v>
      </c>
      <c r="P10" s="50">
        <f>-IPMT(P3,M10,M32,P2,0,0)</f>
        <v>16574.910725323844</v>
      </c>
      <c r="Q10" s="54">
        <f>+O10+P10</f>
        <v>47073.472223264791</v>
      </c>
    </row>
    <row r="11" spans="1:25" x14ac:dyDescent="0.3">
      <c r="A11" s="16" t="s">
        <v>6</v>
      </c>
      <c r="B11" s="16"/>
      <c r="C11" s="16"/>
      <c r="D11" s="15"/>
      <c r="E11" s="28">
        <f t="shared" ref="E11:E32" si="1">+E10+1</f>
        <v>3</v>
      </c>
      <c r="F11" s="29" t="s">
        <v>29</v>
      </c>
      <c r="G11" s="29">
        <f>-PPMT(H3,E11,E32,H2,0,0)</f>
        <v>37818.649014952323</v>
      </c>
      <c r="H11" s="29">
        <f>-IPMT(H3,E11,E32,H2,0,0)</f>
        <v>9254.8232083123821</v>
      </c>
      <c r="I11" s="25">
        <f t="shared" ref="I11:I32" si="2">+G11+H11</f>
        <v>47073.472223264704</v>
      </c>
      <c r="K11" s="42">
        <f t="shared" si="0"/>
        <v>-47073.472223264704</v>
      </c>
      <c r="M11" s="49">
        <f t="shared" ref="M11:M32" si="3">+M10+1</f>
        <v>3</v>
      </c>
      <c r="N11" s="50" t="s">
        <v>29</v>
      </c>
      <c r="O11" s="50">
        <f>-PPMT(P3,M11,M32,P2,0,0)</f>
        <v>31079.560748668853</v>
      </c>
      <c r="P11" s="50">
        <f>-IPMT(P3,M11,M32,P2,0,0)</f>
        <v>15993.91147459594</v>
      </c>
      <c r="Q11" s="82">
        <f t="shared" ref="Q11:Q32" si="4">+O11+P11</f>
        <v>47073.472223264791</v>
      </c>
      <c r="S11" s="78" t="s">
        <v>50</v>
      </c>
      <c r="T11" s="78"/>
      <c r="U11" s="78"/>
      <c r="V11" s="78"/>
      <c r="W11" s="78"/>
      <c r="Y11" s="83">
        <f t="shared" ref="Y11:Y32" si="5">Q11/(1+$P$3)^(M11-2)</f>
        <v>46193.48385045457</v>
      </c>
    </row>
    <row r="12" spans="1:25" x14ac:dyDescent="0.3">
      <c r="A12" s="13" t="s">
        <v>11</v>
      </c>
      <c r="B12" s="14">
        <f>+B10*0.2</f>
        <v>280</v>
      </c>
      <c r="C12" s="14">
        <f>+C10*0.2</f>
        <v>75.675675675675677</v>
      </c>
      <c r="D12" s="15"/>
      <c r="E12" s="28">
        <f t="shared" si="1"/>
        <v>4</v>
      </c>
      <c r="F12" s="29" t="s">
        <v>30</v>
      </c>
      <c r="G12" s="29">
        <f>-PPMT(H3,E12,E32,H2,0,0)</f>
        <v>38196.835505101852</v>
      </c>
      <c r="H12" s="29">
        <f>-IPMT(H3,E12,E32,H2,0,0)</f>
        <v>8876.6367181628575</v>
      </c>
      <c r="I12" s="25">
        <f t="shared" si="2"/>
        <v>47073.472223264711</v>
      </c>
      <c r="K12" s="42">
        <f t="shared" si="0"/>
        <v>-47073.472223264711</v>
      </c>
      <c r="M12" s="49">
        <f t="shared" si="3"/>
        <v>4</v>
      </c>
      <c r="N12" s="50" t="s">
        <v>30</v>
      </c>
      <c r="O12" s="50">
        <f>-PPMT(P3,M12,M32,P2,0,0)</f>
        <v>31671.628066635571</v>
      </c>
      <c r="P12" s="50">
        <f>-IPMT(P3,M12,M32,P2,0,0)</f>
        <v>15401.84415662922</v>
      </c>
      <c r="Q12" s="82">
        <f t="shared" si="4"/>
        <v>47073.472223264791</v>
      </c>
      <c r="S12" s="75" t="s">
        <v>46</v>
      </c>
      <c r="T12" s="75"/>
      <c r="U12" s="75"/>
      <c r="V12" s="75">
        <f>+Q9</f>
        <v>47073.472223264791</v>
      </c>
      <c r="W12" s="75"/>
      <c r="Y12" s="83">
        <f t="shared" si="5"/>
        <v>45329.945922017949</v>
      </c>
    </row>
    <row r="13" spans="1:25" x14ac:dyDescent="0.3">
      <c r="A13" s="13" t="s">
        <v>12</v>
      </c>
      <c r="B13" s="14">
        <f>+B10*0.4</f>
        <v>560</v>
      </c>
      <c r="C13" s="14">
        <f>+C10*0.4</f>
        <v>151.35135135135135</v>
      </c>
      <c r="D13" s="15"/>
      <c r="E13" s="28">
        <f t="shared" si="1"/>
        <v>5</v>
      </c>
      <c r="F13" s="29" t="s">
        <v>31</v>
      </c>
      <c r="G13" s="29">
        <f>-PPMT(H3,E13,E32,H2,0,0)</f>
        <v>38578.803860152868</v>
      </c>
      <c r="H13" s="29">
        <f>-IPMT(H3,E13,E32,H2,0,0)</f>
        <v>8494.6683631118394</v>
      </c>
      <c r="I13" s="25">
        <f t="shared" si="2"/>
        <v>47073.472223264704</v>
      </c>
      <c r="K13" s="42">
        <f t="shared" si="0"/>
        <v>-47073.472223264704</v>
      </c>
      <c r="M13" s="49">
        <f t="shared" si="3"/>
        <v>5</v>
      </c>
      <c r="N13" s="50" t="s">
        <v>31</v>
      </c>
      <c r="O13" s="50">
        <f>-PPMT(P3,M13,M32,P2,0,0)</f>
        <v>32274.974299122325</v>
      </c>
      <c r="P13" s="50">
        <f>-IPMT(P3,M13,M32,P2,0,0)</f>
        <v>14798.49792414247</v>
      </c>
      <c r="Q13" s="82">
        <f t="shared" si="4"/>
        <v>47073.472223264791</v>
      </c>
      <c r="S13" s="75" t="s">
        <v>45</v>
      </c>
      <c r="T13" s="75"/>
      <c r="U13" s="75"/>
      <c r="V13" s="75"/>
      <c r="W13" s="75">
        <f>+V12</f>
        <v>47073.472223264791</v>
      </c>
      <c r="Y13" s="83">
        <f t="shared" si="5"/>
        <v>44482.550914437059</v>
      </c>
    </row>
    <row r="14" spans="1:25" ht="19.5" thickBot="1" x14ac:dyDescent="0.35">
      <c r="A14" s="13" t="s">
        <v>13</v>
      </c>
      <c r="B14" s="14">
        <f>+B10*10%</f>
        <v>140</v>
      </c>
      <c r="C14" s="14">
        <f>+C10*10%</f>
        <v>37.837837837837839</v>
      </c>
      <c r="D14" s="15"/>
      <c r="E14" s="28">
        <f t="shared" si="1"/>
        <v>6</v>
      </c>
      <c r="F14" s="29" t="s">
        <v>32</v>
      </c>
      <c r="G14" s="29">
        <f>-PPMT(H3,E14,E32,H2,0,0)</f>
        <v>38964.591898754392</v>
      </c>
      <c r="H14" s="29">
        <f>-IPMT(H3,E14,E32,H2,0,0)</f>
        <v>8108.8803245103109</v>
      </c>
      <c r="I14" s="25">
        <f t="shared" si="2"/>
        <v>47073.472223264704</v>
      </c>
      <c r="K14" s="42">
        <f t="shared" si="0"/>
        <v>-47073.472223264704</v>
      </c>
      <c r="M14" s="49">
        <f t="shared" si="3"/>
        <v>6</v>
      </c>
      <c r="N14" s="50" t="s">
        <v>32</v>
      </c>
      <c r="O14" s="50">
        <f>-PPMT(P3,M14,M32,P2,0,0)</f>
        <v>32889.814310062458</v>
      </c>
      <c r="P14" s="50">
        <f>-IPMT(P3,M14,M32,P2,0,0)</f>
        <v>14183.657913202334</v>
      </c>
      <c r="Q14" s="82">
        <f t="shared" si="4"/>
        <v>47073.472223264791</v>
      </c>
      <c r="Y14" s="83">
        <f t="shared" si="5"/>
        <v>43650.997053018335</v>
      </c>
    </row>
    <row r="15" spans="1:25" ht="19.5" thickBot="1" x14ac:dyDescent="0.35">
      <c r="A15" s="13" t="s">
        <v>14</v>
      </c>
      <c r="B15" s="14">
        <f>+B10*0.15</f>
        <v>210</v>
      </c>
      <c r="C15" s="14">
        <f>+C10*0.15</f>
        <v>56.756756756756758</v>
      </c>
      <c r="D15" s="15"/>
      <c r="E15" s="28">
        <f t="shared" si="1"/>
        <v>7</v>
      </c>
      <c r="F15" s="29" t="s">
        <v>33</v>
      </c>
      <c r="G15" s="29">
        <f>-PPMT(H3,E15,E32,H2,0,0)</f>
        <v>39354.237817741938</v>
      </c>
      <c r="H15" s="29">
        <f>-IPMT(H3,E15,E32,H2,0,0)</f>
        <v>7719.2344055227659</v>
      </c>
      <c r="I15" s="25">
        <f t="shared" si="2"/>
        <v>47073.472223264704</v>
      </c>
      <c r="K15" s="42">
        <f t="shared" si="0"/>
        <v>-47073.472223264704</v>
      </c>
      <c r="M15" s="49">
        <f t="shared" si="3"/>
        <v>7</v>
      </c>
      <c r="N15" s="50" t="s">
        <v>33</v>
      </c>
      <c r="O15" s="50">
        <f>-PPMT(P3,M15,M32,P2,0,0)</f>
        <v>33516.36705655892</v>
      </c>
      <c r="P15" s="50">
        <f>-IPMT(P3,M15,M32,P2,0,0)</f>
        <v>13557.105166705869</v>
      </c>
      <c r="Q15" s="82">
        <f t="shared" si="4"/>
        <v>47073.472223264791</v>
      </c>
      <c r="S15" s="79" t="s">
        <v>46</v>
      </c>
      <c r="T15" s="80"/>
      <c r="U15" s="80"/>
      <c r="V15" s="80"/>
      <c r="W15" s="81">
        <f>+W5+W9-V12</f>
        <v>870071.57659126434</v>
      </c>
      <c r="Y15" s="83">
        <f t="shared" si="5"/>
        <v>42834.988204424291</v>
      </c>
    </row>
    <row r="16" spans="1:25" ht="19.5" thickBot="1" x14ac:dyDescent="0.35">
      <c r="A16" s="13" t="s">
        <v>15</v>
      </c>
      <c r="B16" s="14">
        <f>+B15</f>
        <v>210</v>
      </c>
      <c r="C16" s="14">
        <f>+C15</f>
        <v>56.756756756756758</v>
      </c>
      <c r="D16" s="15"/>
      <c r="E16" s="28">
        <f t="shared" si="1"/>
        <v>8</v>
      </c>
      <c r="F16" s="29" t="s">
        <v>34</v>
      </c>
      <c r="G16" s="29">
        <f>-PPMT(H3,E16,E32,H2,0,0)</f>
        <v>39747.78019591936</v>
      </c>
      <c r="H16" s="29">
        <f>-IPMT(H3,E16,E32,H2,0,0)</f>
        <v>7325.6920273453461</v>
      </c>
      <c r="I16" s="25">
        <f t="shared" si="2"/>
        <v>47073.472223264704</v>
      </c>
      <c r="K16" s="42">
        <f t="shared" si="0"/>
        <v>-47073.472223264704</v>
      </c>
      <c r="M16" s="49">
        <f t="shared" si="3"/>
        <v>8</v>
      </c>
      <c r="N16" s="50" t="s">
        <v>34</v>
      </c>
      <c r="O16" s="50">
        <f>-PPMT(P3,M16,M32,P2,0,0)</f>
        <v>34154.855666859337</v>
      </c>
      <c r="P16" s="50">
        <f>-IPMT(P3,M16,M32,P2,0,0)</f>
        <v>12918.616556405454</v>
      </c>
      <c r="Q16" s="82">
        <f t="shared" si="4"/>
        <v>47073.472223264791</v>
      </c>
      <c r="S16" s="79" t="s">
        <v>46</v>
      </c>
      <c r="T16" s="80"/>
      <c r="U16" s="80"/>
      <c r="V16" s="80"/>
      <c r="W16" s="81">
        <f>SUM(O10:O32)</f>
        <v>870071.57659126422</v>
      </c>
      <c r="Y16" s="83">
        <f t="shared" si="5"/>
        <v>42034.233771214524</v>
      </c>
    </row>
    <row r="17" spans="1:25" ht="19.5" thickBot="1" x14ac:dyDescent="0.35">
      <c r="A17" s="16" t="s">
        <v>16</v>
      </c>
      <c r="B17" s="16"/>
      <c r="C17" s="16"/>
      <c r="D17" s="15"/>
      <c r="E17" s="28">
        <f t="shared" si="1"/>
        <v>9</v>
      </c>
      <c r="F17" s="29" t="s">
        <v>35</v>
      </c>
      <c r="G17" s="29">
        <f>-PPMT(H3,E17,E32,H2,0,0)</f>
        <v>40145.257997878551</v>
      </c>
      <c r="H17" s="29">
        <f>-IPMT(H3,E17,E32,H2,0,0)</f>
        <v>6928.214225386153</v>
      </c>
      <c r="I17" s="25">
        <f t="shared" si="2"/>
        <v>47073.472223264704</v>
      </c>
      <c r="K17" s="42">
        <f t="shared" si="0"/>
        <v>-47073.472223264704</v>
      </c>
      <c r="M17" s="49">
        <f t="shared" si="3"/>
        <v>9</v>
      </c>
      <c r="N17" s="50" t="s">
        <v>35</v>
      </c>
      <c r="O17" s="50">
        <f>-PPMT(P3,M17,M32,P2,0,0)</f>
        <v>34805.50751981655</v>
      </c>
      <c r="P17" s="50">
        <f>-IPMT(P3,M17,M32,P2,0,0)</f>
        <v>12267.964703448237</v>
      </c>
      <c r="Q17" s="82">
        <f t="shared" si="4"/>
        <v>47073.472223264791</v>
      </c>
      <c r="S17" s="79" t="s">
        <v>46</v>
      </c>
      <c r="T17" s="80"/>
      <c r="U17" s="80"/>
      <c r="V17" s="80"/>
      <c r="W17" s="81">
        <f>NPV(P3,Q10:Q32)</f>
        <v>870071.57659126422</v>
      </c>
      <c r="Y17" s="83">
        <f t="shared" si="5"/>
        <v>41248.448588357867</v>
      </c>
    </row>
    <row r="18" spans="1:25" x14ac:dyDescent="0.3">
      <c r="A18" s="21" t="s">
        <v>20</v>
      </c>
      <c r="B18" s="8"/>
      <c r="C18" s="8"/>
      <c r="D18" s="15"/>
      <c r="E18" s="28">
        <f t="shared" si="1"/>
        <v>10</v>
      </c>
      <c r="F18" s="29" t="s">
        <v>36</v>
      </c>
      <c r="G18" s="29">
        <f>-PPMT(H3,E18,E32,H2,0,0)</f>
        <v>40546.710577857339</v>
      </c>
      <c r="H18" s="29">
        <f>-IPMT(H3,E18,E32,H2,0,0)</f>
        <v>6526.7616454073659</v>
      </c>
      <c r="I18" s="25">
        <f t="shared" si="2"/>
        <v>47073.472223264704</v>
      </c>
      <c r="K18" s="42">
        <f t="shared" si="0"/>
        <v>-47073.472223264704</v>
      </c>
      <c r="M18" s="49">
        <f t="shared" si="3"/>
        <v>10</v>
      </c>
      <c r="N18" s="50" t="s">
        <v>36</v>
      </c>
      <c r="O18" s="50">
        <f>-PPMT(P3,M18,M32,P2,0,0)</f>
        <v>35468.554325862897</v>
      </c>
      <c r="P18" s="50">
        <f>-IPMT(P3,M18,M32,P2,0,0)</f>
        <v>11604.917897401891</v>
      </c>
      <c r="Q18" s="82">
        <f t="shared" si="4"/>
        <v>47073.472223264791</v>
      </c>
      <c r="Y18" s="83">
        <f t="shared" si="5"/>
        <v>40477.352821679422</v>
      </c>
    </row>
    <row r="19" spans="1:25" x14ac:dyDescent="0.3">
      <c r="A19" s="8"/>
      <c r="B19" s="8"/>
      <c r="C19" s="8"/>
      <c r="D19" s="15"/>
      <c r="E19" s="28">
        <f t="shared" si="1"/>
        <v>11</v>
      </c>
      <c r="F19" s="29" t="s">
        <v>37</v>
      </c>
      <c r="G19" s="29">
        <f>-PPMT(H3,E19,E32,H2,0,0)</f>
        <v>40952.177683635913</v>
      </c>
      <c r="H19" s="29">
        <f>-IPMT(H3,E19,E32,H2,0,0)</f>
        <v>6121.2945396287942</v>
      </c>
      <c r="I19" s="25">
        <f t="shared" si="2"/>
        <v>47073.472223264704</v>
      </c>
      <c r="K19" s="42">
        <f t="shared" si="0"/>
        <v>-47073.472223264704</v>
      </c>
      <c r="M19" s="49">
        <f t="shared" si="3"/>
        <v>11</v>
      </c>
      <c r="N19" s="50" t="s">
        <v>37</v>
      </c>
      <c r="O19" s="50">
        <f>-PPMT(P3,M19,M32,P2,0,0)</f>
        <v>36144.232209527006</v>
      </c>
      <c r="P19" s="50">
        <f>-IPMT(P3,M19,M32,P2,0,0)</f>
        <v>10929.240013737783</v>
      </c>
      <c r="Q19" s="82">
        <f t="shared" si="4"/>
        <v>47073.472223264791</v>
      </c>
      <c r="S19" s="78" t="s">
        <v>52</v>
      </c>
      <c r="T19" s="78"/>
      <c r="U19" s="78"/>
      <c r="V19" s="78"/>
      <c r="W19" s="78"/>
      <c r="Y19" s="83">
        <f t="shared" si="5"/>
        <v>39720.671868205776</v>
      </c>
    </row>
    <row r="20" spans="1:25" x14ac:dyDescent="0.3">
      <c r="A20" s="8"/>
      <c r="B20" s="8"/>
      <c r="C20" s="8"/>
      <c r="D20" s="15"/>
      <c r="E20" s="28">
        <f t="shared" si="1"/>
        <v>12</v>
      </c>
      <c r="F20" s="29" t="s">
        <v>38</v>
      </c>
      <c r="G20" s="29">
        <f>-PPMT(H3,E20,E32,H2,0,0)</f>
        <v>41361.699460472271</v>
      </c>
      <c r="H20" s="29">
        <f>-IPMT(H3,E20,E32,H2,0,0)</f>
        <v>5711.7727627924342</v>
      </c>
      <c r="I20" s="25">
        <f t="shared" si="2"/>
        <v>47073.472223264704</v>
      </c>
      <c r="K20" s="42">
        <f t="shared" si="0"/>
        <v>-47073.472223264704</v>
      </c>
      <c r="M20" s="49">
        <f t="shared" si="3"/>
        <v>12</v>
      </c>
      <c r="N20" s="50" t="s">
        <v>38</v>
      </c>
      <c r="O20" s="50">
        <f>-PPMT(P3,M20,M32,P2,0,0)</f>
        <v>36832.781793522576</v>
      </c>
      <c r="P20" s="50">
        <f>-IPMT(P3,M20,M32,P2,0,0)</f>
        <v>10240.690429742215</v>
      </c>
      <c r="Q20" s="82">
        <f t="shared" si="4"/>
        <v>47073.472223264791</v>
      </c>
      <c r="S20" s="75" t="s">
        <v>51</v>
      </c>
      <c r="T20" s="75"/>
      <c r="U20" s="75"/>
      <c r="V20" s="75">
        <f>+P10</f>
        <v>16574.910725323844</v>
      </c>
      <c r="W20" s="75"/>
      <c r="Y20" s="83">
        <f t="shared" si="5"/>
        <v>38978.136258373364</v>
      </c>
    </row>
    <row r="21" spans="1:25" x14ac:dyDescent="0.3">
      <c r="A21" s="8"/>
      <c r="B21" s="8"/>
      <c r="C21" s="8"/>
      <c r="D21" s="15"/>
      <c r="E21" s="28">
        <f t="shared" si="1"/>
        <v>13</v>
      </c>
      <c r="F21" s="29" t="s">
        <v>27</v>
      </c>
      <c r="G21" s="29">
        <f>-PPMT(H3,E21,E32,H2,0,0)</f>
        <v>41775.316455076994</v>
      </c>
      <c r="H21" s="29">
        <f>-IPMT(H3,E21,E32,H2,0,0)</f>
        <v>5298.1557681877121</v>
      </c>
      <c r="I21" s="25">
        <f t="shared" si="2"/>
        <v>47073.472223264704</v>
      </c>
      <c r="K21" s="42">
        <f t="shared" si="0"/>
        <v>-47073.472223264704</v>
      </c>
      <c r="M21" s="49">
        <f t="shared" si="3"/>
        <v>13</v>
      </c>
      <c r="N21" s="50" t="s">
        <v>27</v>
      </c>
      <c r="O21" s="50">
        <f>-PPMT(P3,M21,M32,P2,0,0)</f>
        <v>37534.448284439066</v>
      </c>
      <c r="P21" s="50">
        <f>-IPMT(P3,M21,M32,P2,0,0)</f>
        <v>9539.0239388257251</v>
      </c>
      <c r="Q21" s="82">
        <f t="shared" si="4"/>
        <v>47073.472223264791</v>
      </c>
      <c r="S21" s="75" t="s">
        <v>46</v>
      </c>
      <c r="T21" s="75"/>
      <c r="U21" s="75"/>
      <c r="V21" s="75"/>
      <c r="W21" s="75">
        <f>+V20</f>
        <v>16574.910725323844</v>
      </c>
      <c r="Y21" s="83">
        <f t="shared" si="5"/>
        <v>38249.481560064771</v>
      </c>
    </row>
    <row r="22" spans="1:25" x14ac:dyDescent="0.3">
      <c r="A22" s="8"/>
      <c r="B22" s="8"/>
      <c r="C22" s="8"/>
      <c r="D22" s="15"/>
      <c r="E22" s="28">
        <f t="shared" si="1"/>
        <v>14</v>
      </c>
      <c r="F22" s="29" t="s">
        <v>28</v>
      </c>
      <c r="G22" s="29">
        <f>-PPMT(H3,E22,E32,H2,0,0)</f>
        <v>42193.069619627764</v>
      </c>
      <c r="H22" s="29">
        <f>-IPMT(H3,E22,E32,H2,0,0)</f>
        <v>4880.4026036369414</v>
      </c>
      <c r="I22" s="25">
        <f t="shared" si="2"/>
        <v>47073.472223264704</v>
      </c>
      <c r="K22" s="42">
        <f t="shared" si="0"/>
        <v>-47073.472223264704</v>
      </c>
      <c r="M22" s="49">
        <f t="shared" si="3"/>
        <v>14</v>
      </c>
      <c r="N22" s="50" t="s">
        <v>28</v>
      </c>
      <c r="O22" s="50">
        <f>-PPMT(P3,M22,M32,P2,0,0)</f>
        <v>38249.481560064756</v>
      </c>
      <c r="P22" s="50">
        <f>-IPMT(P3,M22,M32,P2,0,0)</f>
        <v>8823.9906632000329</v>
      </c>
      <c r="Q22" s="82">
        <f t="shared" si="4"/>
        <v>47073.472223264791</v>
      </c>
      <c r="Y22" s="83">
        <f t="shared" si="5"/>
        <v>37534.44828443908</v>
      </c>
    </row>
    <row r="23" spans="1:25" x14ac:dyDescent="0.3">
      <c r="A23" s="8"/>
      <c r="B23" s="8"/>
      <c r="C23" s="8"/>
      <c r="D23" s="15"/>
      <c r="E23" s="28">
        <f t="shared" si="1"/>
        <v>15</v>
      </c>
      <c r="F23" s="29" t="s">
        <v>29</v>
      </c>
      <c r="G23" s="29">
        <f>-PPMT(H3,E23,E32,H2,0,0)</f>
        <v>42615.000315824043</v>
      </c>
      <c r="H23" s="29">
        <f>-IPMT(H3,E23,E32,H2,0,0)</f>
        <v>4458.471907440663</v>
      </c>
      <c r="I23" s="25">
        <f t="shared" si="2"/>
        <v>47073.472223264704</v>
      </c>
      <c r="K23" s="42">
        <f t="shared" si="0"/>
        <v>-47073.472223264704</v>
      </c>
      <c r="M23" s="49">
        <f t="shared" si="3"/>
        <v>15</v>
      </c>
      <c r="N23" s="50" t="s">
        <v>29</v>
      </c>
      <c r="O23" s="50">
        <f>-PPMT(P3,M23,M32,P2,0,0)</f>
        <v>38978.13625837335</v>
      </c>
      <c r="P23" s="50">
        <f>-IPMT(P3,M23,M32,P2,0,0)</f>
        <v>8095.3359648914366</v>
      </c>
      <c r="Q23" s="82">
        <f t="shared" si="4"/>
        <v>47073.472223264784</v>
      </c>
      <c r="S23" s="78" t="s">
        <v>52</v>
      </c>
      <c r="T23" s="78"/>
      <c r="U23" s="78"/>
      <c r="V23" s="78"/>
      <c r="W23" s="78"/>
      <c r="Y23" s="83">
        <f t="shared" si="5"/>
        <v>36832.781793522576</v>
      </c>
    </row>
    <row r="24" spans="1:25" x14ac:dyDescent="0.3">
      <c r="A24" s="8"/>
      <c r="B24" s="8"/>
      <c r="C24" s="8"/>
      <c r="D24" s="15"/>
      <c r="E24" s="28">
        <f t="shared" si="1"/>
        <v>16</v>
      </c>
      <c r="F24" s="29" t="s">
        <v>30</v>
      </c>
      <c r="G24" s="29">
        <f>-PPMT(H3,E24,E32,H2,0,0)</f>
        <v>43041.150318982283</v>
      </c>
      <c r="H24" s="29">
        <f>-IPMT(H3,E24,E32,H2,0,0)</f>
        <v>4032.3219042824235</v>
      </c>
      <c r="I24" s="25">
        <f t="shared" si="2"/>
        <v>47073.472223264704</v>
      </c>
      <c r="K24" s="42">
        <f t="shared" si="0"/>
        <v>-47073.472223264704</v>
      </c>
      <c r="M24" s="49">
        <f t="shared" si="3"/>
        <v>16</v>
      </c>
      <c r="N24" s="50" t="s">
        <v>30</v>
      </c>
      <c r="O24" s="50">
        <f>-PPMT(P3,M24,M32,P2,0,0)</f>
        <v>39720.671868205769</v>
      </c>
      <c r="P24" s="50">
        <f>-IPMT(P3,M24,M32,P2,0,0)</f>
        <v>7352.8003550590201</v>
      </c>
      <c r="Q24" s="82">
        <f t="shared" si="4"/>
        <v>47073.472223264791</v>
      </c>
      <c r="S24" s="75" t="s">
        <v>46</v>
      </c>
      <c r="T24" s="75"/>
      <c r="U24" s="75"/>
      <c r="V24" s="75">
        <f>+Q10</f>
        <v>47073.472223264791</v>
      </c>
      <c r="W24" s="75"/>
      <c r="Y24" s="83">
        <f t="shared" si="5"/>
        <v>36144.232209527014</v>
      </c>
    </row>
    <row r="25" spans="1:25" x14ac:dyDescent="0.3">
      <c r="A25" s="8"/>
      <c r="B25" s="8"/>
      <c r="C25" s="8"/>
      <c r="D25" s="15"/>
      <c r="E25" s="28">
        <f t="shared" si="1"/>
        <v>17</v>
      </c>
      <c r="F25" s="29" t="s">
        <v>31</v>
      </c>
      <c r="G25" s="29">
        <f>-PPMT(H3,E25,E32,H2,0,0)</f>
        <v>43471.561822172109</v>
      </c>
      <c r="H25" s="29">
        <f>-IPMT(H3,E25,E32,H2,0,0)</f>
        <v>3601.9104010926003</v>
      </c>
      <c r="I25" s="25">
        <f t="shared" si="2"/>
        <v>47073.472223264711</v>
      </c>
      <c r="K25" s="42">
        <f t="shared" si="0"/>
        <v>-47073.472223264711</v>
      </c>
      <c r="M25" s="49">
        <f t="shared" si="3"/>
        <v>17</v>
      </c>
      <c r="N25" s="50" t="s">
        <v>31</v>
      </c>
      <c r="O25" s="50">
        <f>-PPMT(P3,M25,M32,P2,0,0)</f>
        <v>40477.352821679415</v>
      </c>
      <c r="P25" s="50">
        <f>-IPMT(P3,M25,M32,P2,0,0)</f>
        <v>6596.1194015853771</v>
      </c>
      <c r="Q25" s="82">
        <f t="shared" si="4"/>
        <v>47073.472223264791</v>
      </c>
      <c r="S25" s="75" t="s">
        <v>45</v>
      </c>
      <c r="T25" s="75"/>
      <c r="U25" s="75"/>
      <c r="V25" s="75"/>
      <c r="W25" s="75">
        <f>+V24</f>
        <v>47073.472223264791</v>
      </c>
      <c r="Y25" s="83">
        <f t="shared" si="5"/>
        <v>35468.554325862911</v>
      </c>
    </row>
    <row r="26" spans="1:25" ht="19.5" thickBot="1" x14ac:dyDescent="0.35">
      <c r="A26" s="8"/>
      <c r="B26" s="8"/>
      <c r="C26" s="8"/>
      <c r="D26" s="15"/>
      <c r="E26" s="28">
        <f t="shared" si="1"/>
        <v>18</v>
      </c>
      <c r="F26" s="29" t="s">
        <v>32</v>
      </c>
      <c r="G26" s="29">
        <f>-PPMT(H3,E26,E32,H2,0,0)</f>
        <v>43906.277440393831</v>
      </c>
      <c r="H26" s="29">
        <f>-IPMT(H3,E26,E32,H2,0,0)</f>
        <v>3167.194782870879</v>
      </c>
      <c r="I26" s="25">
        <f t="shared" si="2"/>
        <v>47073.472223264711</v>
      </c>
      <c r="K26" s="42">
        <f t="shared" si="0"/>
        <v>-47073.472223264711</v>
      </c>
      <c r="M26" s="49">
        <f t="shared" si="3"/>
        <v>18</v>
      </c>
      <c r="N26" s="50" t="s">
        <v>32</v>
      </c>
      <c r="O26" s="50">
        <f>-PPMT(P3,M26,M32,P2,0,0)</f>
        <v>41248.448588357867</v>
      </c>
      <c r="P26" s="50">
        <f>-IPMT(P3,M26,M32,P2,0,0)</f>
        <v>5825.0236349069237</v>
      </c>
      <c r="Q26" s="82">
        <f t="shared" si="4"/>
        <v>47073.472223264791</v>
      </c>
      <c r="Y26" s="83">
        <f t="shared" si="5"/>
        <v>34805.507519816572</v>
      </c>
    </row>
    <row r="27" spans="1:25" ht="19.5" thickBot="1" x14ac:dyDescent="0.35">
      <c r="A27" s="8"/>
      <c r="B27" s="8"/>
      <c r="C27" s="8"/>
      <c r="D27" s="15"/>
      <c r="E27" s="28">
        <f t="shared" si="1"/>
        <v>19</v>
      </c>
      <c r="F27" s="29" t="s">
        <v>33</v>
      </c>
      <c r="G27" s="29">
        <f>-PPMT(H3,E27,E32,H2,0,0)</f>
        <v>44345.340214797761</v>
      </c>
      <c r="H27" s="29">
        <f>-IPMT(H3,E27,E32,H2,0,0)</f>
        <v>2728.1320084669405</v>
      </c>
      <c r="I27" s="25">
        <f t="shared" si="2"/>
        <v>47073.472223264704</v>
      </c>
      <c r="K27" s="42">
        <f t="shared" si="0"/>
        <v>-47073.472223264704</v>
      </c>
      <c r="M27" s="49">
        <f t="shared" si="3"/>
        <v>19</v>
      </c>
      <c r="N27" s="50" t="s">
        <v>33</v>
      </c>
      <c r="O27" s="50">
        <f>-PPMT(P3,M27,M32,P2,0,0)</f>
        <v>42034.233771214516</v>
      </c>
      <c r="P27" s="50">
        <f>-IPMT(P3,M27,M32,P2,0,0)</f>
        <v>5039.2384520502728</v>
      </c>
      <c r="Q27" s="82">
        <f t="shared" si="4"/>
        <v>47073.472223264791</v>
      </c>
      <c r="S27" s="79" t="s">
        <v>46</v>
      </c>
      <c r="T27" s="80"/>
      <c r="U27" s="80"/>
      <c r="V27" s="80"/>
      <c r="W27" s="81">
        <f>+W15+W21-V24</f>
        <v>839573.01509332343</v>
      </c>
      <c r="Y27" s="83">
        <f t="shared" si="5"/>
        <v>34154.855666859352</v>
      </c>
    </row>
    <row r="28" spans="1:25" ht="19.5" thickBot="1" x14ac:dyDescent="0.35">
      <c r="A28" s="8"/>
      <c r="B28" s="8"/>
      <c r="C28" s="8"/>
      <c r="D28" s="15"/>
      <c r="E28" s="28">
        <f t="shared" si="1"/>
        <v>20</v>
      </c>
      <c r="F28" s="29" t="s">
        <v>34</v>
      </c>
      <c r="G28" s="29">
        <f>-PPMT(H3,E28,E32,H2,0,0)</f>
        <v>44788.793616945746</v>
      </c>
      <c r="H28" s="29">
        <f>-IPMT(H3,E28,E32,H2,0,0)</f>
        <v>2284.6786063189629</v>
      </c>
      <c r="I28" s="25">
        <f t="shared" si="2"/>
        <v>47073.472223264711</v>
      </c>
      <c r="K28" s="42">
        <f t="shared" si="0"/>
        <v>-47073.472223264711</v>
      </c>
      <c r="M28" s="49">
        <f t="shared" si="3"/>
        <v>20</v>
      </c>
      <c r="N28" s="50" t="s">
        <v>34</v>
      </c>
      <c r="O28" s="50">
        <f>-PPMT(P3,M28,M32,P2,0,0)</f>
        <v>42834.988204424299</v>
      </c>
      <c r="P28" s="50">
        <f>-IPMT(P3,M28,M32,P2,0,0)</f>
        <v>4238.4840188404987</v>
      </c>
      <c r="Q28" s="82">
        <f t="shared" si="4"/>
        <v>47073.472223264798</v>
      </c>
      <c r="S28" s="79" t="s">
        <v>46</v>
      </c>
      <c r="T28" s="80"/>
      <c r="U28" s="80"/>
      <c r="V28" s="80"/>
      <c r="W28" s="81">
        <f>SUM(O11:O32)</f>
        <v>839573.01509332331</v>
      </c>
      <c r="Y28" s="83">
        <f t="shared" si="5"/>
        <v>33516.367056558942</v>
      </c>
    </row>
    <row r="29" spans="1:25" ht="19.5" thickBot="1" x14ac:dyDescent="0.35">
      <c r="A29" s="8"/>
      <c r="B29" s="8"/>
      <c r="C29" s="8"/>
      <c r="D29" s="15"/>
      <c r="E29" s="28">
        <f t="shared" si="1"/>
        <v>21</v>
      </c>
      <c r="F29" s="29" t="s">
        <v>35</v>
      </c>
      <c r="G29" s="29">
        <f>-PPMT(H3,E29,E32,H2,0,0)</f>
        <v>45236.681553115202</v>
      </c>
      <c r="H29" s="29">
        <f>-IPMT(H3,E29,E32,H2,0,0)</f>
        <v>1836.7906701495053</v>
      </c>
      <c r="I29" s="25">
        <f t="shared" si="2"/>
        <v>47073.472223264711</v>
      </c>
      <c r="K29" s="42">
        <f t="shared" si="0"/>
        <v>-47073.472223264711</v>
      </c>
      <c r="M29" s="49">
        <f t="shared" si="3"/>
        <v>21</v>
      </c>
      <c r="N29" s="50" t="s">
        <v>35</v>
      </c>
      <c r="O29" s="50">
        <f>-PPMT(P3,M29,M32,P2,0,0)</f>
        <v>43650.997053018327</v>
      </c>
      <c r="P29" s="50">
        <f>-IPMT(P3,M29,M32,P2,0,0)</f>
        <v>3422.4751702464646</v>
      </c>
      <c r="Q29" s="82">
        <f t="shared" si="4"/>
        <v>47073.472223264791</v>
      </c>
      <c r="S29" s="79" t="s">
        <v>46</v>
      </c>
      <c r="T29" s="80"/>
      <c r="U29" s="80"/>
      <c r="V29" s="80"/>
      <c r="W29" s="81">
        <f>SUM(Y11:Y32)</f>
        <v>839573.01509332354</v>
      </c>
      <c r="Y29" s="83">
        <f t="shared" si="5"/>
        <v>32889.814310062473</v>
      </c>
    </row>
    <row r="30" spans="1:25" x14ac:dyDescent="0.3">
      <c r="A30" s="8"/>
      <c r="B30" s="8"/>
      <c r="C30" s="8"/>
      <c r="D30" s="15"/>
      <c r="E30" s="28">
        <f t="shared" si="1"/>
        <v>22</v>
      </c>
      <c r="F30" s="29" t="s">
        <v>36</v>
      </c>
      <c r="G30" s="29">
        <f>-PPMT(H3,E30,E32,H2,0,0)</f>
        <v>45689.048368646356</v>
      </c>
      <c r="H30" s="29">
        <f>-IPMT(H3,E30,E32,H2,0,0)</f>
        <v>1384.4238546183533</v>
      </c>
      <c r="I30" s="25">
        <f t="shared" si="2"/>
        <v>47073.472223264711</v>
      </c>
      <c r="K30" s="42">
        <f t="shared" si="0"/>
        <v>-47073.472223264711</v>
      </c>
      <c r="M30" s="49">
        <f t="shared" si="3"/>
        <v>22</v>
      </c>
      <c r="N30" s="50" t="s">
        <v>36</v>
      </c>
      <c r="O30" s="50">
        <f>-PPMT(P3,M30,M32,P2,0,0)</f>
        <v>44482.550914437066</v>
      </c>
      <c r="P30" s="50">
        <f>-IPMT(P3,M30,M32,P2,0,0)</f>
        <v>2590.9213088277297</v>
      </c>
      <c r="Q30" s="82">
        <f t="shared" si="4"/>
        <v>47073.472223264798</v>
      </c>
      <c r="Y30" s="83">
        <f t="shared" si="5"/>
        <v>32274.974299122343</v>
      </c>
    </row>
    <row r="31" spans="1:25" x14ac:dyDescent="0.3">
      <c r="A31" s="8"/>
      <c r="B31" s="8"/>
      <c r="C31" s="8"/>
      <c r="D31" s="15"/>
      <c r="E31" s="28">
        <f t="shared" si="1"/>
        <v>23</v>
      </c>
      <c r="F31" s="29" t="s">
        <v>37</v>
      </c>
      <c r="G31" s="29">
        <f>-PPMT(H3,E31,E32,H2,0,0)</f>
        <v>46145.938852332816</v>
      </c>
      <c r="H31" s="29">
        <f>-IPMT(H3,E31,E32,H2,0,0)</f>
        <v>927.53337093188986</v>
      </c>
      <c r="I31" s="25">
        <f t="shared" si="2"/>
        <v>47073.472223264704</v>
      </c>
      <c r="K31" s="42">
        <f t="shared" si="0"/>
        <v>-47073.472223264704</v>
      </c>
      <c r="M31" s="49">
        <f t="shared" si="3"/>
        <v>23</v>
      </c>
      <c r="N31" s="50" t="s">
        <v>37</v>
      </c>
      <c r="O31" s="50">
        <f>-PPMT(P3,M31,M32,P2,0,0)</f>
        <v>45329.945922017949</v>
      </c>
      <c r="P31" s="50">
        <f>-IPMT(P3,M31,M32,P2,0,0)</f>
        <v>1743.5263012468447</v>
      </c>
      <c r="Q31" s="82">
        <f t="shared" si="4"/>
        <v>47073.472223264791</v>
      </c>
      <c r="Y31" s="83">
        <f t="shared" si="5"/>
        <v>31671.628066635585</v>
      </c>
    </row>
    <row r="32" spans="1:25" ht="19.5" thickBot="1" x14ac:dyDescent="0.35">
      <c r="A32" s="8"/>
      <c r="B32" s="8"/>
      <c r="C32" s="8"/>
      <c r="D32" s="15"/>
      <c r="E32" s="28">
        <f t="shared" si="1"/>
        <v>24</v>
      </c>
      <c r="F32" s="29" t="s">
        <v>38</v>
      </c>
      <c r="G32" s="29">
        <f>-PPMT(H3,E32,E32,H2,0,0)</f>
        <v>46607.39824085615</v>
      </c>
      <c r="H32" s="29">
        <f>-IPMT(H3,E32,E32,H2,0,0)</f>
        <v>466.07398240856151</v>
      </c>
      <c r="I32" s="25">
        <f t="shared" si="2"/>
        <v>47073.472223264711</v>
      </c>
      <c r="K32" s="43">
        <f t="shared" si="0"/>
        <v>-47073.472223264711</v>
      </c>
      <c r="M32" s="49">
        <f t="shared" si="3"/>
        <v>24</v>
      </c>
      <c r="N32" s="50" t="s">
        <v>38</v>
      </c>
      <c r="O32" s="50">
        <f>-PPMT(P3,M32,M32,P2,0,0)</f>
        <v>46193.48385045457</v>
      </c>
      <c r="P32" s="50">
        <f>-IPMT(P3,M32,M32,P2,0,0)</f>
        <v>879.98837281022418</v>
      </c>
      <c r="Q32" s="82">
        <f t="shared" si="4"/>
        <v>47073.472223264791</v>
      </c>
      <c r="Y32" s="83">
        <f t="shared" si="5"/>
        <v>31079.560748668871</v>
      </c>
    </row>
    <row r="33" spans="1:17" ht="19.5" thickBot="1" x14ac:dyDescent="0.35">
      <c r="A33" s="8"/>
      <c r="B33" s="8"/>
      <c r="C33" s="8"/>
      <c r="E33" s="34"/>
      <c r="F33" s="33"/>
      <c r="G33" s="66">
        <f>SUM(G9:G32)</f>
        <v>1000000</v>
      </c>
      <c r="H33" s="66">
        <f>SUM(H9:H32)</f>
        <v>129763.33335835305</v>
      </c>
      <c r="I33" s="26">
        <f>SUM(I9:I32)</f>
        <v>1129763.3333583532</v>
      </c>
      <c r="M33" s="52"/>
      <c r="N33" s="53"/>
      <c r="O33" s="67">
        <f>SUM(O9:O32)</f>
        <v>900000</v>
      </c>
      <c r="P33" s="67">
        <f>SUM(P9:P32)</f>
        <v>229763.33335835484</v>
      </c>
      <c r="Q33" s="62">
        <f>SUM(Q9:Q32)</f>
        <v>1129763.3333583546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CC5A-94C4-4E83-AD44-5FCB96C7E862}">
  <dimension ref="A1:Y33"/>
  <sheetViews>
    <sheetView tabSelected="1" zoomScale="55" zoomScaleNormal="55" workbookViewId="0">
      <pane xSplit="3" topLeftCell="E1" activePane="topRight" state="frozen"/>
      <selection pane="topRight" activeCell="N1" sqref="N1"/>
    </sheetView>
  </sheetViews>
  <sheetFormatPr baseColWidth="10" defaultRowHeight="18.75" x14ac:dyDescent="0.3"/>
  <cols>
    <col min="1" max="1" width="25.5703125" style="5" bestFit="1" customWidth="1"/>
    <col min="2" max="3" width="14.42578125" style="5" customWidth="1"/>
    <col min="4" max="4" width="2.140625" style="5" customWidth="1"/>
    <col min="5" max="5" width="15.42578125" style="20" customWidth="1"/>
    <col min="6" max="6" width="15.140625" style="20" bestFit="1" customWidth="1"/>
    <col min="7" max="7" width="14.140625" style="20" customWidth="1"/>
    <col min="8" max="9" width="14.42578125" style="20" bestFit="1" customWidth="1"/>
    <col min="10" max="10" width="1.85546875" style="20" customWidth="1"/>
    <col min="11" max="11" width="17.42578125" style="20" bestFit="1" customWidth="1"/>
    <col min="12" max="12" width="1.85546875" style="20" customWidth="1"/>
    <col min="13" max="14" width="11.42578125" style="20"/>
    <col min="15" max="15" width="15" style="20" bestFit="1" customWidth="1"/>
    <col min="16" max="16" width="16" style="20" customWidth="1"/>
    <col min="17" max="17" width="14.42578125" style="20" bestFit="1" customWidth="1"/>
    <col min="18" max="18" width="1.85546875" style="20" customWidth="1"/>
    <col min="19" max="21" width="11.42578125" style="20"/>
    <col min="22" max="23" width="12.28515625" style="20" bestFit="1" customWidth="1"/>
    <col min="24" max="24" width="2.140625" style="20" customWidth="1"/>
    <col min="25" max="25" width="14.42578125" style="20" bestFit="1" customWidth="1"/>
    <col min="26" max="16384" width="11.42578125" style="20"/>
  </cols>
  <sheetData>
    <row r="1" spans="1:25" s="23" customFormat="1" ht="24" thickBot="1" x14ac:dyDescent="0.4">
      <c r="A1" s="4" t="s">
        <v>17</v>
      </c>
      <c r="B1" s="1"/>
      <c r="C1" s="1"/>
      <c r="D1" s="18"/>
      <c r="E1" s="22" t="s">
        <v>19</v>
      </c>
      <c r="F1" s="22"/>
      <c r="M1" s="63" t="s">
        <v>40</v>
      </c>
      <c r="N1" s="64"/>
      <c r="O1" s="64"/>
      <c r="P1" s="64"/>
      <c r="Q1" s="65"/>
    </row>
    <row r="2" spans="1:25" ht="23.25" x14ac:dyDescent="0.35">
      <c r="A2" s="4" t="s">
        <v>0</v>
      </c>
      <c r="B2" s="1"/>
      <c r="C2" s="1"/>
      <c r="D2" s="18"/>
      <c r="E2" s="35" t="s">
        <v>21</v>
      </c>
      <c r="F2" s="36"/>
      <c r="G2" s="36"/>
      <c r="H2" s="36">
        <v>1000000</v>
      </c>
      <c r="I2" s="27"/>
      <c r="K2" s="39" t="s">
        <v>42</v>
      </c>
      <c r="L2" s="40"/>
      <c r="M2" s="55" t="s">
        <v>21</v>
      </c>
      <c r="N2" s="56"/>
      <c r="O2" s="56"/>
      <c r="P2" s="56">
        <f>+K8</f>
        <v>900000</v>
      </c>
      <c r="Q2" s="57"/>
      <c r="R2" s="40"/>
      <c r="S2" s="19" t="s">
        <v>49</v>
      </c>
    </row>
    <row r="3" spans="1:25" ht="23.25" x14ac:dyDescent="0.35">
      <c r="A3" s="4" t="s">
        <v>1</v>
      </c>
      <c r="B3" s="1"/>
      <c r="C3" s="1"/>
      <c r="D3" s="18"/>
      <c r="E3" s="37" t="s">
        <v>22</v>
      </c>
      <c r="F3" s="31"/>
      <c r="G3" s="31"/>
      <c r="H3" s="38">
        <v>0.01</v>
      </c>
      <c r="I3" s="30"/>
      <c r="K3" s="74" t="s">
        <v>43</v>
      </c>
      <c r="M3" s="58" t="s">
        <v>22</v>
      </c>
      <c r="N3" s="59"/>
      <c r="O3" s="59"/>
      <c r="P3" s="60">
        <f>+K7</f>
        <v>1.9050054238365588E-2</v>
      </c>
      <c r="Q3" s="61"/>
      <c r="S3" s="76"/>
      <c r="T3" s="76"/>
      <c r="U3" s="76"/>
      <c r="V3" s="77" t="s">
        <v>47</v>
      </c>
      <c r="W3" s="77" t="s">
        <v>48</v>
      </c>
    </row>
    <row r="4" spans="1:25" ht="26.25" x14ac:dyDescent="0.4">
      <c r="A4" s="2" t="s">
        <v>2</v>
      </c>
      <c r="B4" s="3"/>
      <c r="C4" s="17" t="s">
        <v>18</v>
      </c>
      <c r="D4" s="18"/>
      <c r="E4" s="28" t="s">
        <v>23</v>
      </c>
      <c r="F4" s="29"/>
      <c r="G4" s="29"/>
      <c r="H4" s="29">
        <v>24</v>
      </c>
      <c r="I4" s="30"/>
      <c r="K4" s="74" t="s">
        <v>44</v>
      </c>
      <c r="M4" s="58" t="s">
        <v>23</v>
      </c>
      <c r="N4" s="59"/>
      <c r="O4" s="59"/>
      <c r="P4" s="59">
        <v>24</v>
      </c>
      <c r="Q4" s="61"/>
      <c r="S4" s="75" t="s">
        <v>45</v>
      </c>
      <c r="T4" s="75"/>
      <c r="U4" s="75"/>
      <c r="V4" s="75">
        <f>+P2</f>
        <v>900000</v>
      </c>
      <c r="W4" s="75"/>
    </row>
    <row r="5" spans="1:25" x14ac:dyDescent="0.3">
      <c r="A5" s="6" t="s">
        <v>3</v>
      </c>
      <c r="B5" s="7">
        <v>2000</v>
      </c>
      <c r="C5" s="7"/>
      <c r="D5" s="15"/>
      <c r="E5" s="28" t="s">
        <v>24</v>
      </c>
      <c r="F5" s="29"/>
      <c r="G5" s="29"/>
      <c r="H5" s="24">
        <f>PMT(H3,H4,-H2,0,0)</f>
        <v>47073.472223264704</v>
      </c>
      <c r="I5" s="30"/>
      <c r="M5" s="58" t="s">
        <v>24</v>
      </c>
      <c r="N5" s="59"/>
      <c r="O5" s="59"/>
      <c r="P5" s="59">
        <f>PMT(P3,P4,-P2,0,0)</f>
        <v>47073.472223264791</v>
      </c>
      <c r="Q5" s="61"/>
      <c r="S5" s="75" t="s">
        <v>46</v>
      </c>
      <c r="T5" s="75"/>
      <c r="U5" s="75"/>
      <c r="V5" s="75"/>
      <c r="W5" s="75">
        <f>+V4</f>
        <v>900000</v>
      </c>
    </row>
    <row r="6" spans="1:25" ht="19.5" thickBot="1" x14ac:dyDescent="0.35">
      <c r="A6" s="6" t="s">
        <v>4</v>
      </c>
      <c r="B6" s="7">
        <f>+B5/3.7</f>
        <v>540.54054054054052</v>
      </c>
      <c r="C6" s="7"/>
      <c r="D6" s="15"/>
      <c r="E6" s="37" t="s">
        <v>39</v>
      </c>
      <c r="F6" s="31"/>
      <c r="G6" s="31"/>
      <c r="H6" s="38">
        <v>0.1</v>
      </c>
      <c r="I6" s="30"/>
      <c r="M6" s="45"/>
      <c r="N6" s="46"/>
      <c r="O6" s="46"/>
      <c r="P6" s="47"/>
      <c r="Q6" s="48"/>
    </row>
    <row r="7" spans="1:25" ht="19.5" thickBot="1" x14ac:dyDescent="0.35">
      <c r="A7" s="21" t="s">
        <v>53</v>
      </c>
      <c r="B7" s="9"/>
      <c r="C7" s="9"/>
      <c r="D7" s="15"/>
      <c r="E7" s="70" t="s">
        <v>41</v>
      </c>
      <c r="F7" s="71"/>
      <c r="G7" s="72" t="s">
        <v>25</v>
      </c>
      <c r="H7" s="72" t="s">
        <v>26</v>
      </c>
      <c r="I7" s="73" t="s">
        <v>24</v>
      </c>
      <c r="K7" s="44">
        <f>IRR(K8:K32)</f>
        <v>1.9050054238365588E-2</v>
      </c>
      <c r="M7" s="49"/>
      <c r="N7" s="50"/>
      <c r="O7" s="46" t="s">
        <v>25</v>
      </c>
      <c r="P7" s="46" t="s">
        <v>26</v>
      </c>
      <c r="Q7" s="51" t="s">
        <v>24</v>
      </c>
      <c r="S7" s="78" t="s">
        <v>50</v>
      </c>
      <c r="T7" s="78"/>
      <c r="U7" s="78"/>
      <c r="V7" s="78"/>
      <c r="W7" s="78"/>
    </row>
    <row r="8" spans="1:25" ht="19.5" thickBot="1" x14ac:dyDescent="0.35">
      <c r="A8" s="10" t="s">
        <v>54</v>
      </c>
      <c r="B8" s="11"/>
      <c r="C8" s="11">
        <v>0.3</v>
      </c>
      <c r="D8" s="15"/>
      <c r="E8" s="28"/>
      <c r="F8" s="29"/>
      <c r="G8" s="31"/>
      <c r="H8" s="31"/>
      <c r="I8" s="32"/>
      <c r="K8" s="41">
        <f>H2*(1-H6)</f>
        <v>900000</v>
      </c>
      <c r="M8" s="49"/>
      <c r="N8" s="50"/>
      <c r="O8" s="46"/>
      <c r="P8" s="46"/>
      <c r="Q8" s="51"/>
      <c r="S8" s="75" t="s">
        <v>51</v>
      </c>
      <c r="T8" s="75"/>
      <c r="U8" s="75"/>
      <c r="V8" s="75">
        <f>+P9</f>
        <v>17145.048814529029</v>
      </c>
      <c r="W8" s="75"/>
    </row>
    <row r="9" spans="1:25" ht="19.5" thickBot="1" x14ac:dyDescent="0.35">
      <c r="A9" s="8"/>
      <c r="B9" s="8"/>
      <c r="C9" s="8"/>
      <c r="D9" s="15"/>
      <c r="E9" s="28">
        <v>1</v>
      </c>
      <c r="F9" s="29" t="s">
        <v>27</v>
      </c>
      <c r="G9" s="29">
        <f>-PPMT(H3,E9,E32,H2,0,0)</f>
        <v>37073.472223264704</v>
      </c>
      <c r="H9" s="29">
        <f>-IPMT(H3,E9,E32,H2,0,0)</f>
        <v>10000.000000000002</v>
      </c>
      <c r="I9" s="68">
        <f>+G9+H9</f>
        <v>47073.472223264704</v>
      </c>
      <c r="K9" s="42">
        <f>-I9</f>
        <v>-47073.472223264704</v>
      </c>
      <c r="M9" s="49">
        <v>1</v>
      </c>
      <c r="N9" s="50" t="s">
        <v>27</v>
      </c>
      <c r="O9" s="50">
        <f>-PPMT(P3,M9,M32,P2,0,0)</f>
        <v>29928.423408735762</v>
      </c>
      <c r="P9" s="50">
        <f>-IPMT(P3,M9,M32,P2,0,0)</f>
        <v>17145.048814529029</v>
      </c>
      <c r="Q9" s="69">
        <f>+O9+P9</f>
        <v>47073.472223264791</v>
      </c>
      <c r="S9" s="75" t="s">
        <v>46</v>
      </c>
      <c r="T9" s="75"/>
      <c r="U9" s="75"/>
      <c r="V9" s="75"/>
      <c r="W9" s="75">
        <f>+V8</f>
        <v>17145.048814529029</v>
      </c>
    </row>
    <row r="10" spans="1:25" x14ac:dyDescent="0.3">
      <c r="A10" s="8"/>
      <c r="B10" s="8"/>
      <c r="C10" s="8"/>
      <c r="D10" s="15"/>
      <c r="E10" s="28">
        <f>+E9+1</f>
        <v>2</v>
      </c>
      <c r="F10" s="29" t="s">
        <v>28</v>
      </c>
      <c r="G10" s="29">
        <f>-PPMT(H3,E10,E32,H2,0,0)</f>
        <v>37444.206945497353</v>
      </c>
      <c r="H10" s="29">
        <f>-IPMT(H3,E10,E32,H2,0,0)</f>
        <v>9629.2652777673538</v>
      </c>
      <c r="I10" s="25">
        <f>+G10+H10</f>
        <v>47073.472223264704</v>
      </c>
      <c r="K10" s="42">
        <f t="shared" ref="K10:K32" si="0">-I10</f>
        <v>-47073.472223264704</v>
      </c>
      <c r="M10" s="49">
        <f>+M9+1</f>
        <v>2</v>
      </c>
      <c r="N10" s="50" t="s">
        <v>28</v>
      </c>
      <c r="O10" s="50">
        <f>-PPMT(P3,M10,M32,P2,0,0)</f>
        <v>30498.561497940951</v>
      </c>
      <c r="P10" s="50">
        <f>-IPMT(P3,M10,M32,P2,0,0)</f>
        <v>16574.910725323844</v>
      </c>
      <c r="Q10" s="54">
        <f>+O10+P10</f>
        <v>47073.472223264791</v>
      </c>
    </row>
    <row r="11" spans="1:25" x14ac:dyDescent="0.3">
      <c r="A11" s="8"/>
      <c r="B11" s="8"/>
      <c r="C11" s="8"/>
      <c r="D11" s="15"/>
      <c r="E11" s="28">
        <f t="shared" ref="E11:E32" si="1">+E10+1</f>
        <v>3</v>
      </c>
      <c r="F11" s="29" t="s">
        <v>29</v>
      </c>
      <c r="G11" s="29">
        <f>-PPMT(H3,E11,E32,H2,0,0)</f>
        <v>37818.649014952323</v>
      </c>
      <c r="H11" s="29">
        <f>-IPMT(H3,E11,E32,H2,0,0)</f>
        <v>9254.8232083123821</v>
      </c>
      <c r="I11" s="25">
        <f t="shared" ref="I11:I32" si="2">+G11+H11</f>
        <v>47073.472223264704</v>
      </c>
      <c r="K11" s="42">
        <f t="shared" si="0"/>
        <v>-47073.472223264704</v>
      </c>
      <c r="M11" s="49">
        <f t="shared" ref="M11:M32" si="3">+M10+1</f>
        <v>3</v>
      </c>
      <c r="N11" s="50" t="s">
        <v>29</v>
      </c>
      <c r="O11" s="50">
        <f>-PPMT(P3,M11,M32,P2,0,0)</f>
        <v>31079.560748668853</v>
      </c>
      <c r="P11" s="50">
        <f>-IPMT(P3,M11,M32,P2,0,0)</f>
        <v>15993.91147459594</v>
      </c>
      <c r="Q11" s="82">
        <f t="shared" ref="Q11:Q32" si="4">+O11+P11</f>
        <v>47073.472223264791</v>
      </c>
      <c r="S11" s="78" t="s">
        <v>50</v>
      </c>
      <c r="T11" s="78"/>
      <c r="U11" s="78"/>
      <c r="V11" s="78"/>
      <c r="W11" s="78"/>
      <c r="Y11" s="83">
        <f t="shared" ref="Y11:Y31" si="5">Q11/(1+$P$3)^(M11-2)</f>
        <v>46193.48385045457</v>
      </c>
    </row>
    <row r="12" spans="1:25" x14ac:dyDescent="0.3">
      <c r="A12" s="8"/>
      <c r="B12" s="8"/>
      <c r="C12" s="8"/>
      <c r="D12" s="15"/>
      <c r="E12" s="28">
        <f t="shared" si="1"/>
        <v>4</v>
      </c>
      <c r="F12" s="29" t="s">
        <v>30</v>
      </c>
      <c r="G12" s="29">
        <f>-PPMT(H3,E12,E32,H2,0,0)</f>
        <v>38196.835505101852</v>
      </c>
      <c r="H12" s="29">
        <f>-IPMT(H3,E12,E32,H2,0,0)</f>
        <v>8876.6367181628575</v>
      </c>
      <c r="I12" s="25">
        <f t="shared" si="2"/>
        <v>47073.472223264711</v>
      </c>
      <c r="K12" s="42">
        <f t="shared" si="0"/>
        <v>-47073.472223264711</v>
      </c>
      <c r="M12" s="49">
        <f t="shared" si="3"/>
        <v>4</v>
      </c>
      <c r="N12" s="50" t="s">
        <v>30</v>
      </c>
      <c r="O12" s="50">
        <f>-PPMT(P3,M12,M32,P2,0,0)</f>
        <v>31671.628066635571</v>
      </c>
      <c r="P12" s="50">
        <f>-IPMT(P3,M12,M32,P2,0,0)</f>
        <v>15401.84415662922</v>
      </c>
      <c r="Q12" s="82">
        <f t="shared" si="4"/>
        <v>47073.472223264791</v>
      </c>
      <c r="S12" s="75" t="s">
        <v>46</v>
      </c>
      <c r="T12" s="75"/>
      <c r="U12" s="75"/>
      <c r="V12" s="75">
        <f>+Q9</f>
        <v>47073.472223264791</v>
      </c>
      <c r="W12" s="75"/>
      <c r="Y12" s="83">
        <f t="shared" si="5"/>
        <v>45329.945922017949</v>
      </c>
    </row>
    <row r="13" spans="1:25" x14ac:dyDescent="0.3">
      <c r="A13" s="8"/>
      <c r="B13" s="8"/>
      <c r="C13" s="8"/>
      <c r="D13" s="15"/>
      <c r="E13" s="28">
        <f t="shared" si="1"/>
        <v>5</v>
      </c>
      <c r="F13" s="29" t="s">
        <v>31</v>
      </c>
      <c r="G13" s="29">
        <f>-PPMT(H3,E13,E32,H2,0,0)</f>
        <v>38578.803860152868</v>
      </c>
      <c r="H13" s="29">
        <f>-IPMT(H3,E13,E32,H2,0,0)</f>
        <v>8494.6683631118394</v>
      </c>
      <c r="I13" s="25">
        <f t="shared" si="2"/>
        <v>47073.472223264704</v>
      </c>
      <c r="K13" s="42">
        <f t="shared" si="0"/>
        <v>-47073.472223264704</v>
      </c>
      <c r="M13" s="49">
        <f t="shared" si="3"/>
        <v>5</v>
      </c>
      <c r="N13" s="50" t="s">
        <v>31</v>
      </c>
      <c r="O13" s="50">
        <f>-PPMT(P3,M13,M32,P2,0,0)</f>
        <v>32274.974299122325</v>
      </c>
      <c r="P13" s="50">
        <f>-IPMT(P3,M13,M32,P2,0,0)</f>
        <v>14798.49792414247</v>
      </c>
      <c r="Q13" s="82">
        <f t="shared" si="4"/>
        <v>47073.472223264791</v>
      </c>
      <c r="S13" s="75" t="s">
        <v>45</v>
      </c>
      <c r="T13" s="75"/>
      <c r="U13" s="75"/>
      <c r="V13" s="75"/>
      <c r="W13" s="75">
        <f>+V12</f>
        <v>47073.472223264791</v>
      </c>
      <c r="Y13" s="83">
        <f t="shared" si="5"/>
        <v>44482.550914437059</v>
      </c>
    </row>
    <row r="14" spans="1:25" ht="19.5" thickBot="1" x14ac:dyDescent="0.35">
      <c r="A14" s="8"/>
      <c r="B14" s="8"/>
      <c r="C14" s="8"/>
      <c r="D14" s="15"/>
      <c r="E14" s="28">
        <f t="shared" si="1"/>
        <v>6</v>
      </c>
      <c r="F14" s="29" t="s">
        <v>32</v>
      </c>
      <c r="G14" s="29">
        <f>-PPMT(H3,E14,E32,H2,0,0)</f>
        <v>38964.591898754392</v>
      </c>
      <c r="H14" s="29">
        <f>-IPMT(H3,E14,E32,H2,0,0)</f>
        <v>8108.8803245103109</v>
      </c>
      <c r="I14" s="25">
        <f t="shared" si="2"/>
        <v>47073.472223264704</v>
      </c>
      <c r="K14" s="42">
        <f t="shared" si="0"/>
        <v>-47073.472223264704</v>
      </c>
      <c r="M14" s="49">
        <f t="shared" si="3"/>
        <v>6</v>
      </c>
      <c r="N14" s="50" t="s">
        <v>32</v>
      </c>
      <c r="O14" s="50">
        <f>-PPMT(P3,M14,M32,P2,0,0)</f>
        <v>32889.814310062458</v>
      </c>
      <c r="P14" s="50">
        <f>-IPMT(P3,M14,M32,P2,0,0)</f>
        <v>14183.657913202334</v>
      </c>
      <c r="Q14" s="82">
        <f t="shared" si="4"/>
        <v>47073.472223264791</v>
      </c>
      <c r="Y14" s="83">
        <f t="shared" si="5"/>
        <v>43650.997053018335</v>
      </c>
    </row>
    <row r="15" spans="1:25" ht="19.5" thickBot="1" x14ac:dyDescent="0.35">
      <c r="A15" s="8"/>
      <c r="B15" s="8"/>
      <c r="C15" s="8"/>
      <c r="D15" s="15"/>
      <c r="E15" s="28">
        <f t="shared" si="1"/>
        <v>7</v>
      </c>
      <c r="F15" s="29" t="s">
        <v>33</v>
      </c>
      <c r="G15" s="29">
        <f>-PPMT(H3,E15,E32,H2,0,0)</f>
        <v>39354.237817741938</v>
      </c>
      <c r="H15" s="29">
        <f>-IPMT(H3,E15,E32,H2,0,0)</f>
        <v>7719.2344055227659</v>
      </c>
      <c r="I15" s="25">
        <f t="shared" si="2"/>
        <v>47073.472223264704</v>
      </c>
      <c r="K15" s="42">
        <f t="shared" si="0"/>
        <v>-47073.472223264704</v>
      </c>
      <c r="M15" s="49">
        <f t="shared" si="3"/>
        <v>7</v>
      </c>
      <c r="N15" s="50" t="s">
        <v>33</v>
      </c>
      <c r="O15" s="50">
        <f>-PPMT(P3,M15,M32,P2,0,0)</f>
        <v>33516.36705655892</v>
      </c>
      <c r="P15" s="50">
        <f>-IPMT(P3,M15,M32,P2,0,0)</f>
        <v>13557.105166705869</v>
      </c>
      <c r="Q15" s="82">
        <f t="shared" si="4"/>
        <v>47073.472223264791</v>
      </c>
      <c r="S15" s="79" t="s">
        <v>46</v>
      </c>
      <c r="T15" s="80"/>
      <c r="U15" s="80"/>
      <c r="V15" s="80"/>
      <c r="W15" s="81">
        <f>+W5+W9-V12</f>
        <v>870071.57659126434</v>
      </c>
      <c r="Y15" s="83">
        <f t="shared" si="5"/>
        <v>42834.988204424291</v>
      </c>
    </row>
    <row r="16" spans="1:25" ht="19.5" thickBot="1" x14ac:dyDescent="0.35">
      <c r="A16" s="8"/>
      <c r="B16" s="8"/>
      <c r="C16" s="8"/>
      <c r="D16" s="15"/>
      <c r="E16" s="28">
        <f t="shared" si="1"/>
        <v>8</v>
      </c>
      <c r="F16" s="29" t="s">
        <v>34</v>
      </c>
      <c r="G16" s="29">
        <f>-PPMT(H3,E16,E32,H2,0,0)</f>
        <v>39747.78019591936</v>
      </c>
      <c r="H16" s="29">
        <f>-IPMT(H3,E16,E32,H2,0,0)</f>
        <v>7325.6920273453461</v>
      </c>
      <c r="I16" s="25">
        <f t="shared" si="2"/>
        <v>47073.472223264704</v>
      </c>
      <c r="K16" s="42">
        <f t="shared" si="0"/>
        <v>-47073.472223264704</v>
      </c>
      <c r="M16" s="49">
        <f t="shared" si="3"/>
        <v>8</v>
      </c>
      <c r="N16" s="50" t="s">
        <v>34</v>
      </c>
      <c r="O16" s="50">
        <f>-PPMT(P3,M16,M32,P2,0,0)</f>
        <v>34154.855666859337</v>
      </c>
      <c r="P16" s="50">
        <f>-IPMT(P3,M16,M32,P2,0,0)</f>
        <v>12918.616556405454</v>
      </c>
      <c r="Q16" s="82">
        <f t="shared" si="4"/>
        <v>47073.472223264791</v>
      </c>
      <c r="S16" s="79" t="s">
        <v>46</v>
      </c>
      <c r="T16" s="80"/>
      <c r="U16" s="80"/>
      <c r="V16" s="80"/>
      <c r="W16" s="81">
        <f>SUM(O10:O32)</f>
        <v>870071.57659126422</v>
      </c>
      <c r="Y16" s="83">
        <f t="shared" si="5"/>
        <v>42034.233771214524</v>
      </c>
    </row>
    <row r="17" spans="1:25" ht="19.5" thickBot="1" x14ac:dyDescent="0.35">
      <c r="A17" s="8"/>
      <c r="B17" s="8"/>
      <c r="C17" s="8"/>
      <c r="D17" s="15"/>
      <c r="E17" s="28">
        <f t="shared" si="1"/>
        <v>9</v>
      </c>
      <c r="F17" s="29" t="s">
        <v>35</v>
      </c>
      <c r="G17" s="29">
        <f>-PPMT(H3,E17,E32,H2,0,0)</f>
        <v>40145.257997878551</v>
      </c>
      <c r="H17" s="29">
        <f>-IPMT(H3,E17,E32,H2,0,0)</f>
        <v>6928.214225386153</v>
      </c>
      <c r="I17" s="25">
        <f t="shared" si="2"/>
        <v>47073.472223264704</v>
      </c>
      <c r="K17" s="42">
        <f t="shared" si="0"/>
        <v>-47073.472223264704</v>
      </c>
      <c r="M17" s="49">
        <f t="shared" si="3"/>
        <v>9</v>
      </c>
      <c r="N17" s="50" t="s">
        <v>35</v>
      </c>
      <c r="O17" s="50">
        <f>-PPMT(P3,M17,M32,P2,0,0)</f>
        <v>34805.50751981655</v>
      </c>
      <c r="P17" s="50">
        <f>-IPMT(P3,M17,M32,P2,0,0)</f>
        <v>12267.964703448237</v>
      </c>
      <c r="Q17" s="82">
        <f t="shared" si="4"/>
        <v>47073.472223264791</v>
      </c>
      <c r="S17" s="79" t="s">
        <v>46</v>
      </c>
      <c r="T17" s="80"/>
      <c r="U17" s="80"/>
      <c r="V17" s="80"/>
      <c r="W17" s="81">
        <f>NPV(P3,Q10:Q32)</f>
        <v>870071.57659126422</v>
      </c>
      <c r="Y17" s="83">
        <f t="shared" si="5"/>
        <v>41248.448588357867</v>
      </c>
    </row>
    <row r="18" spans="1:25" x14ac:dyDescent="0.3">
      <c r="A18" s="8"/>
      <c r="B18" s="8"/>
      <c r="C18" s="8"/>
      <c r="D18" s="15"/>
      <c r="E18" s="28">
        <f t="shared" si="1"/>
        <v>10</v>
      </c>
      <c r="F18" s="29" t="s">
        <v>36</v>
      </c>
      <c r="G18" s="29">
        <f>-PPMT(H3,E18,E32,H2,0,0)</f>
        <v>40546.710577857339</v>
      </c>
      <c r="H18" s="29">
        <f>-IPMT(H3,E18,E32,H2,0,0)</f>
        <v>6526.7616454073659</v>
      </c>
      <c r="I18" s="25">
        <f t="shared" si="2"/>
        <v>47073.472223264704</v>
      </c>
      <c r="K18" s="42">
        <f t="shared" si="0"/>
        <v>-47073.472223264704</v>
      </c>
      <c r="M18" s="49">
        <f t="shared" si="3"/>
        <v>10</v>
      </c>
      <c r="N18" s="50" t="s">
        <v>36</v>
      </c>
      <c r="O18" s="50">
        <f>-PPMT(P3,M18,M32,P2,0,0)</f>
        <v>35468.554325862897</v>
      </c>
      <c r="P18" s="50">
        <f>-IPMT(P3,M18,M32,P2,0,0)</f>
        <v>11604.917897401891</v>
      </c>
      <c r="Q18" s="82">
        <f t="shared" si="4"/>
        <v>47073.472223264791</v>
      </c>
      <c r="Y18" s="83">
        <f t="shared" si="5"/>
        <v>40477.352821679422</v>
      </c>
    </row>
    <row r="19" spans="1:25" x14ac:dyDescent="0.3">
      <c r="A19" s="8"/>
      <c r="B19" s="8"/>
      <c r="C19" s="8"/>
      <c r="D19" s="15"/>
      <c r="E19" s="28">
        <f t="shared" si="1"/>
        <v>11</v>
      </c>
      <c r="F19" s="29" t="s">
        <v>37</v>
      </c>
      <c r="G19" s="29">
        <f>-PPMT(H3,E19,E32,H2,0,0)</f>
        <v>40952.177683635913</v>
      </c>
      <c r="H19" s="29">
        <f>-IPMT(H3,E19,E32,H2,0,0)</f>
        <v>6121.2945396287942</v>
      </c>
      <c r="I19" s="25">
        <f t="shared" si="2"/>
        <v>47073.472223264704</v>
      </c>
      <c r="K19" s="42">
        <f t="shared" si="0"/>
        <v>-47073.472223264704</v>
      </c>
      <c r="M19" s="49">
        <f t="shared" si="3"/>
        <v>11</v>
      </c>
      <c r="N19" s="50" t="s">
        <v>37</v>
      </c>
      <c r="O19" s="50">
        <f>-PPMT(P3,M19,M32,P2,0,0)</f>
        <v>36144.232209527006</v>
      </c>
      <c r="P19" s="50">
        <f>-IPMT(P3,M19,M32,P2,0,0)</f>
        <v>10929.240013737783</v>
      </c>
      <c r="Q19" s="82">
        <f t="shared" si="4"/>
        <v>47073.472223264791</v>
      </c>
      <c r="S19" s="78" t="s">
        <v>52</v>
      </c>
      <c r="T19" s="78"/>
      <c r="U19" s="78"/>
      <c r="V19" s="78"/>
      <c r="W19" s="78"/>
      <c r="Y19" s="83">
        <f t="shared" si="5"/>
        <v>39720.671868205776</v>
      </c>
    </row>
    <row r="20" spans="1:25" x14ac:dyDescent="0.3">
      <c r="A20" s="8"/>
      <c r="B20" s="8"/>
      <c r="C20" s="8"/>
      <c r="D20" s="15"/>
      <c r="E20" s="28">
        <f t="shared" si="1"/>
        <v>12</v>
      </c>
      <c r="F20" s="29" t="s">
        <v>38</v>
      </c>
      <c r="G20" s="29">
        <f>-PPMT(H3,E20,E32,H2,0,0)</f>
        <v>41361.699460472271</v>
      </c>
      <c r="H20" s="29">
        <f>-IPMT(H3,E20,E32,H2,0,0)</f>
        <v>5711.7727627924342</v>
      </c>
      <c r="I20" s="25">
        <f t="shared" si="2"/>
        <v>47073.472223264704</v>
      </c>
      <c r="K20" s="42">
        <f t="shared" si="0"/>
        <v>-47073.472223264704</v>
      </c>
      <c r="M20" s="49">
        <f t="shared" si="3"/>
        <v>12</v>
      </c>
      <c r="N20" s="50" t="s">
        <v>38</v>
      </c>
      <c r="O20" s="50">
        <f>-PPMT(P3,M20,M32,P2,0,0)</f>
        <v>36832.781793522576</v>
      </c>
      <c r="P20" s="50">
        <f>-IPMT(P3,M20,M32,P2,0,0)</f>
        <v>10240.690429742215</v>
      </c>
      <c r="Q20" s="82">
        <f t="shared" si="4"/>
        <v>47073.472223264791</v>
      </c>
      <c r="S20" s="75" t="s">
        <v>51</v>
      </c>
      <c r="T20" s="75"/>
      <c r="U20" s="75"/>
      <c r="V20" s="75">
        <f>+P10</f>
        <v>16574.910725323844</v>
      </c>
      <c r="W20" s="75"/>
      <c r="Y20" s="83">
        <f t="shared" si="5"/>
        <v>38978.136258373364</v>
      </c>
    </row>
    <row r="21" spans="1:25" x14ac:dyDescent="0.3">
      <c r="A21" s="8"/>
      <c r="B21" s="8"/>
      <c r="C21" s="8"/>
      <c r="D21" s="15"/>
      <c r="E21" s="28">
        <f t="shared" si="1"/>
        <v>13</v>
      </c>
      <c r="F21" s="29" t="s">
        <v>27</v>
      </c>
      <c r="G21" s="29">
        <f>-PPMT(H3,E21,E32,H2,0,0)</f>
        <v>41775.316455076994</v>
      </c>
      <c r="H21" s="29">
        <f>-IPMT(H3,E21,E32,H2,0,0)</f>
        <v>5298.1557681877121</v>
      </c>
      <c r="I21" s="25">
        <f t="shared" si="2"/>
        <v>47073.472223264704</v>
      </c>
      <c r="K21" s="42">
        <f t="shared" si="0"/>
        <v>-47073.472223264704</v>
      </c>
      <c r="M21" s="49">
        <f t="shared" si="3"/>
        <v>13</v>
      </c>
      <c r="N21" s="50" t="s">
        <v>27</v>
      </c>
      <c r="O21" s="50">
        <f>-PPMT(P3,M21,M32,P2,0,0)</f>
        <v>37534.448284439066</v>
      </c>
      <c r="P21" s="50">
        <f>-IPMT(P3,M21,M32,P2,0,0)</f>
        <v>9539.0239388257251</v>
      </c>
      <c r="Q21" s="82">
        <f t="shared" si="4"/>
        <v>47073.472223264791</v>
      </c>
      <c r="S21" s="75" t="s">
        <v>46</v>
      </c>
      <c r="T21" s="75"/>
      <c r="U21" s="75"/>
      <c r="V21" s="75"/>
      <c r="W21" s="75">
        <f>+V20</f>
        <v>16574.910725323844</v>
      </c>
      <c r="Y21" s="83">
        <f t="shared" si="5"/>
        <v>38249.481560064771</v>
      </c>
    </row>
    <row r="22" spans="1:25" x14ac:dyDescent="0.3">
      <c r="A22" s="8"/>
      <c r="B22" s="8"/>
      <c r="C22" s="8"/>
      <c r="D22" s="15"/>
      <c r="E22" s="28">
        <f t="shared" si="1"/>
        <v>14</v>
      </c>
      <c r="F22" s="29" t="s">
        <v>28</v>
      </c>
      <c r="G22" s="29">
        <f>-PPMT(H3,E22,E32,H2,0,0)</f>
        <v>42193.069619627764</v>
      </c>
      <c r="H22" s="29">
        <f>-IPMT(H3,E22,E32,H2,0,0)</f>
        <v>4880.4026036369414</v>
      </c>
      <c r="I22" s="25">
        <f t="shared" si="2"/>
        <v>47073.472223264704</v>
      </c>
      <c r="K22" s="42">
        <f t="shared" si="0"/>
        <v>-47073.472223264704</v>
      </c>
      <c r="M22" s="49">
        <f t="shared" si="3"/>
        <v>14</v>
      </c>
      <c r="N22" s="50" t="s">
        <v>28</v>
      </c>
      <c r="O22" s="50">
        <f>-PPMT(P3,M22,M32,P2,0,0)</f>
        <v>38249.481560064756</v>
      </c>
      <c r="P22" s="50">
        <f>-IPMT(P3,M22,M32,P2,0,0)</f>
        <v>8823.9906632000329</v>
      </c>
      <c r="Q22" s="82">
        <f t="shared" si="4"/>
        <v>47073.472223264791</v>
      </c>
      <c r="Y22" s="83">
        <f t="shared" si="5"/>
        <v>37534.44828443908</v>
      </c>
    </row>
    <row r="23" spans="1:25" x14ac:dyDescent="0.3">
      <c r="A23" s="8"/>
      <c r="B23" s="8"/>
      <c r="C23" s="8"/>
      <c r="D23" s="15"/>
      <c r="E23" s="28">
        <f t="shared" si="1"/>
        <v>15</v>
      </c>
      <c r="F23" s="29" t="s">
        <v>29</v>
      </c>
      <c r="G23" s="29">
        <f>-PPMT(H3,E23,E32,H2,0,0)</f>
        <v>42615.000315824043</v>
      </c>
      <c r="H23" s="29">
        <f>-IPMT(H3,E23,E32,H2,0,0)</f>
        <v>4458.471907440663</v>
      </c>
      <c r="I23" s="25">
        <f t="shared" si="2"/>
        <v>47073.472223264704</v>
      </c>
      <c r="K23" s="42">
        <f t="shared" si="0"/>
        <v>-47073.472223264704</v>
      </c>
      <c r="M23" s="49">
        <f t="shared" si="3"/>
        <v>15</v>
      </c>
      <c r="N23" s="50" t="s">
        <v>29</v>
      </c>
      <c r="O23" s="50">
        <f>-PPMT(P3,M23,M32,P2,0,0)</f>
        <v>38978.13625837335</v>
      </c>
      <c r="P23" s="50">
        <f>-IPMT(P3,M23,M32,P2,0,0)</f>
        <v>8095.3359648914366</v>
      </c>
      <c r="Q23" s="82">
        <f t="shared" si="4"/>
        <v>47073.472223264784</v>
      </c>
      <c r="S23" s="78" t="s">
        <v>52</v>
      </c>
      <c r="T23" s="78"/>
      <c r="U23" s="78"/>
      <c r="V23" s="78"/>
      <c r="W23" s="78"/>
      <c r="Y23" s="83">
        <f t="shared" si="5"/>
        <v>36832.781793522576</v>
      </c>
    </row>
    <row r="24" spans="1:25" x14ac:dyDescent="0.3">
      <c r="A24" s="8"/>
      <c r="B24" s="8"/>
      <c r="C24" s="8"/>
      <c r="D24" s="15"/>
      <c r="E24" s="28">
        <f t="shared" si="1"/>
        <v>16</v>
      </c>
      <c r="F24" s="29" t="s">
        <v>30</v>
      </c>
      <c r="G24" s="29">
        <f>-PPMT(H3,E24,E32,H2,0,0)</f>
        <v>43041.150318982283</v>
      </c>
      <c r="H24" s="29">
        <f>-IPMT(H3,E24,E32,H2,0,0)</f>
        <v>4032.3219042824235</v>
      </c>
      <c r="I24" s="25">
        <f t="shared" si="2"/>
        <v>47073.472223264704</v>
      </c>
      <c r="K24" s="42">
        <f t="shared" si="0"/>
        <v>-47073.472223264704</v>
      </c>
      <c r="M24" s="49">
        <f t="shared" si="3"/>
        <v>16</v>
      </c>
      <c r="N24" s="50" t="s">
        <v>30</v>
      </c>
      <c r="O24" s="50">
        <f>-PPMT(P3,M24,M32,P2,0,0)</f>
        <v>39720.671868205769</v>
      </c>
      <c r="P24" s="50">
        <f>-IPMT(P3,M24,M32,P2,0,0)</f>
        <v>7352.8003550590201</v>
      </c>
      <c r="Q24" s="82">
        <f t="shared" si="4"/>
        <v>47073.472223264791</v>
      </c>
      <c r="S24" s="75" t="s">
        <v>46</v>
      </c>
      <c r="T24" s="75"/>
      <c r="U24" s="75"/>
      <c r="V24" s="75">
        <f>+Q10</f>
        <v>47073.472223264791</v>
      </c>
      <c r="W24" s="75"/>
      <c r="Y24" s="83">
        <f t="shared" si="5"/>
        <v>36144.232209527014</v>
      </c>
    </row>
    <row r="25" spans="1:25" x14ac:dyDescent="0.3">
      <c r="A25" s="8"/>
      <c r="B25" s="8"/>
      <c r="C25" s="8"/>
      <c r="D25" s="15"/>
      <c r="E25" s="28">
        <f t="shared" si="1"/>
        <v>17</v>
      </c>
      <c r="F25" s="29" t="s">
        <v>31</v>
      </c>
      <c r="G25" s="29">
        <f>-PPMT(H3,E25,E32,H2,0,0)</f>
        <v>43471.561822172109</v>
      </c>
      <c r="H25" s="29">
        <f>-IPMT(H3,E25,E32,H2,0,0)</f>
        <v>3601.9104010926003</v>
      </c>
      <c r="I25" s="25">
        <f t="shared" si="2"/>
        <v>47073.472223264711</v>
      </c>
      <c r="K25" s="42">
        <f t="shared" si="0"/>
        <v>-47073.472223264711</v>
      </c>
      <c r="M25" s="49">
        <f t="shared" si="3"/>
        <v>17</v>
      </c>
      <c r="N25" s="50" t="s">
        <v>31</v>
      </c>
      <c r="O25" s="50">
        <f>-PPMT(P3,M25,M32,P2,0,0)</f>
        <v>40477.352821679415</v>
      </c>
      <c r="P25" s="50">
        <f>-IPMT(P3,M25,M32,P2,0,0)</f>
        <v>6596.1194015853771</v>
      </c>
      <c r="Q25" s="82">
        <f t="shared" si="4"/>
        <v>47073.472223264791</v>
      </c>
      <c r="S25" s="75" t="s">
        <v>45</v>
      </c>
      <c r="T25" s="75"/>
      <c r="U25" s="75"/>
      <c r="V25" s="75"/>
      <c r="W25" s="75">
        <f>+V24</f>
        <v>47073.472223264791</v>
      </c>
      <c r="Y25" s="83">
        <f t="shared" si="5"/>
        <v>35468.554325862911</v>
      </c>
    </row>
    <row r="26" spans="1:25" ht="19.5" thickBot="1" x14ac:dyDescent="0.35">
      <c r="A26" s="8"/>
      <c r="B26" s="8"/>
      <c r="C26" s="8"/>
      <c r="D26" s="15"/>
      <c r="E26" s="28">
        <f t="shared" si="1"/>
        <v>18</v>
      </c>
      <c r="F26" s="29" t="s">
        <v>32</v>
      </c>
      <c r="G26" s="29">
        <f>-PPMT(H3,E26,E32,H2,0,0)</f>
        <v>43906.277440393831</v>
      </c>
      <c r="H26" s="29">
        <f>-IPMT(H3,E26,E32,H2,0,0)</f>
        <v>3167.194782870879</v>
      </c>
      <c r="I26" s="25">
        <f t="shared" si="2"/>
        <v>47073.472223264711</v>
      </c>
      <c r="K26" s="42">
        <f t="shared" si="0"/>
        <v>-47073.472223264711</v>
      </c>
      <c r="M26" s="49">
        <f t="shared" si="3"/>
        <v>18</v>
      </c>
      <c r="N26" s="50" t="s">
        <v>32</v>
      </c>
      <c r="O26" s="50">
        <f>-PPMT(P3,M26,M32,P2,0,0)</f>
        <v>41248.448588357867</v>
      </c>
      <c r="P26" s="50">
        <f>-IPMT(P3,M26,M32,P2,0,0)</f>
        <v>5825.0236349069237</v>
      </c>
      <c r="Q26" s="82">
        <f t="shared" si="4"/>
        <v>47073.472223264791</v>
      </c>
      <c r="Y26" s="83">
        <f t="shared" si="5"/>
        <v>34805.507519816572</v>
      </c>
    </row>
    <row r="27" spans="1:25" ht="19.5" thickBot="1" x14ac:dyDescent="0.35">
      <c r="A27" s="8"/>
      <c r="B27" s="8"/>
      <c r="C27" s="8"/>
      <c r="D27" s="15"/>
      <c r="E27" s="28">
        <f t="shared" si="1"/>
        <v>19</v>
      </c>
      <c r="F27" s="29" t="s">
        <v>33</v>
      </c>
      <c r="G27" s="29">
        <f>-PPMT(H3,E27,E32,H2,0,0)</f>
        <v>44345.340214797761</v>
      </c>
      <c r="H27" s="29">
        <f>-IPMT(H3,E27,E32,H2,0,0)</f>
        <v>2728.1320084669405</v>
      </c>
      <c r="I27" s="25">
        <f t="shared" si="2"/>
        <v>47073.472223264704</v>
      </c>
      <c r="K27" s="42">
        <f t="shared" si="0"/>
        <v>-47073.472223264704</v>
      </c>
      <c r="M27" s="49">
        <f t="shared" si="3"/>
        <v>19</v>
      </c>
      <c r="N27" s="50" t="s">
        <v>33</v>
      </c>
      <c r="O27" s="50">
        <f>-PPMT(P3,M27,M32,P2,0,0)</f>
        <v>42034.233771214516</v>
      </c>
      <c r="P27" s="50">
        <f>-IPMT(P3,M27,M32,P2,0,0)</f>
        <v>5039.2384520502728</v>
      </c>
      <c r="Q27" s="82">
        <f t="shared" si="4"/>
        <v>47073.472223264791</v>
      </c>
      <c r="S27" s="79" t="s">
        <v>46</v>
      </c>
      <c r="T27" s="80"/>
      <c r="U27" s="80"/>
      <c r="V27" s="80"/>
      <c r="W27" s="81">
        <f>+W15+W21-V24</f>
        <v>839573.01509332343</v>
      </c>
      <c r="Y27" s="83">
        <f t="shared" si="5"/>
        <v>34154.855666859352</v>
      </c>
    </row>
    <row r="28" spans="1:25" ht="19.5" thickBot="1" x14ac:dyDescent="0.35">
      <c r="A28" s="8"/>
      <c r="B28" s="8"/>
      <c r="C28" s="8"/>
      <c r="D28" s="15"/>
      <c r="E28" s="28">
        <f t="shared" si="1"/>
        <v>20</v>
      </c>
      <c r="F28" s="29" t="s">
        <v>34</v>
      </c>
      <c r="G28" s="29">
        <f>-PPMT(H3,E28,E32,H2,0,0)</f>
        <v>44788.793616945746</v>
      </c>
      <c r="H28" s="29">
        <f>-IPMT(H3,E28,E32,H2,0,0)</f>
        <v>2284.6786063189629</v>
      </c>
      <c r="I28" s="25">
        <f t="shared" si="2"/>
        <v>47073.472223264711</v>
      </c>
      <c r="K28" s="42">
        <f t="shared" si="0"/>
        <v>-47073.472223264711</v>
      </c>
      <c r="M28" s="49">
        <f t="shared" si="3"/>
        <v>20</v>
      </c>
      <c r="N28" s="50" t="s">
        <v>34</v>
      </c>
      <c r="O28" s="50">
        <f>-PPMT(P3,M28,M32,P2,0,0)</f>
        <v>42834.988204424299</v>
      </c>
      <c r="P28" s="50">
        <f>-IPMT(P3,M28,M32,P2,0,0)</f>
        <v>4238.4840188404987</v>
      </c>
      <c r="Q28" s="82">
        <f t="shared" si="4"/>
        <v>47073.472223264798</v>
      </c>
      <c r="S28" s="79" t="s">
        <v>46</v>
      </c>
      <c r="T28" s="80"/>
      <c r="U28" s="80"/>
      <c r="V28" s="80"/>
      <c r="W28" s="81">
        <f>SUM(O11:O32)</f>
        <v>839573.01509332331</v>
      </c>
      <c r="Y28" s="83">
        <f t="shared" si="5"/>
        <v>33516.367056558942</v>
      </c>
    </row>
    <row r="29" spans="1:25" ht="19.5" thickBot="1" x14ac:dyDescent="0.35">
      <c r="A29" s="8"/>
      <c r="B29" s="8"/>
      <c r="C29" s="8"/>
      <c r="D29" s="15"/>
      <c r="E29" s="28">
        <f t="shared" si="1"/>
        <v>21</v>
      </c>
      <c r="F29" s="29" t="s">
        <v>35</v>
      </c>
      <c r="G29" s="29">
        <f>-PPMT(H3,E29,E32,H2,0,0)</f>
        <v>45236.681553115202</v>
      </c>
      <c r="H29" s="29">
        <f>-IPMT(H3,E29,E32,H2,0,0)</f>
        <v>1836.7906701495053</v>
      </c>
      <c r="I29" s="25">
        <f t="shared" si="2"/>
        <v>47073.472223264711</v>
      </c>
      <c r="K29" s="42">
        <f t="shared" si="0"/>
        <v>-47073.472223264711</v>
      </c>
      <c r="M29" s="49">
        <f t="shared" si="3"/>
        <v>21</v>
      </c>
      <c r="N29" s="50" t="s">
        <v>35</v>
      </c>
      <c r="O29" s="50">
        <f>-PPMT(P3,M29,M32,P2,0,0)</f>
        <v>43650.997053018327</v>
      </c>
      <c r="P29" s="50">
        <f>-IPMT(P3,M29,M32,P2,0,0)</f>
        <v>3422.4751702464646</v>
      </c>
      <c r="Q29" s="82">
        <f t="shared" si="4"/>
        <v>47073.472223264791</v>
      </c>
      <c r="S29" s="79" t="s">
        <v>46</v>
      </c>
      <c r="T29" s="80"/>
      <c r="U29" s="80"/>
      <c r="V29" s="80"/>
      <c r="W29" s="81">
        <f>SUM(Y11:Y32)</f>
        <v>839573.01509332354</v>
      </c>
      <c r="Y29" s="83">
        <f t="shared" si="5"/>
        <v>32889.814310062473</v>
      </c>
    </row>
    <row r="30" spans="1:25" x14ac:dyDescent="0.3">
      <c r="A30" s="8"/>
      <c r="B30" s="8"/>
      <c r="C30" s="8"/>
      <c r="D30" s="15"/>
      <c r="E30" s="28">
        <f t="shared" si="1"/>
        <v>22</v>
      </c>
      <c r="F30" s="29" t="s">
        <v>36</v>
      </c>
      <c r="G30" s="29">
        <f>-PPMT(H3,E30,E32,H2,0,0)</f>
        <v>45689.048368646356</v>
      </c>
      <c r="H30" s="29">
        <f>-IPMT(H3,E30,E32,H2,0,0)</f>
        <v>1384.4238546183533</v>
      </c>
      <c r="I30" s="25">
        <f t="shared" si="2"/>
        <v>47073.472223264711</v>
      </c>
      <c r="K30" s="42">
        <f t="shared" si="0"/>
        <v>-47073.472223264711</v>
      </c>
      <c r="M30" s="49">
        <f t="shared" si="3"/>
        <v>22</v>
      </c>
      <c r="N30" s="50" t="s">
        <v>36</v>
      </c>
      <c r="O30" s="50">
        <f>-PPMT(P3,M30,M32,P2,0,0)</f>
        <v>44482.550914437066</v>
      </c>
      <c r="P30" s="50">
        <f>-IPMT(P3,M30,M32,P2,0,0)</f>
        <v>2590.9213088277297</v>
      </c>
      <c r="Q30" s="82">
        <f t="shared" si="4"/>
        <v>47073.472223264798</v>
      </c>
      <c r="Y30" s="83">
        <f t="shared" si="5"/>
        <v>32274.974299122343</v>
      </c>
    </row>
    <row r="31" spans="1:25" x14ac:dyDescent="0.3">
      <c r="A31" s="8"/>
      <c r="B31" s="8"/>
      <c r="C31" s="8"/>
      <c r="D31" s="15"/>
      <c r="E31" s="28">
        <f t="shared" si="1"/>
        <v>23</v>
      </c>
      <c r="F31" s="29" t="s">
        <v>37</v>
      </c>
      <c r="G31" s="29">
        <f>-PPMT(H3,E31,E32,H2,0,0)</f>
        <v>46145.938852332816</v>
      </c>
      <c r="H31" s="29">
        <f>-IPMT(H3,E31,E32,H2,0,0)</f>
        <v>927.53337093188986</v>
      </c>
      <c r="I31" s="25">
        <f t="shared" si="2"/>
        <v>47073.472223264704</v>
      </c>
      <c r="K31" s="42">
        <f t="shared" si="0"/>
        <v>-47073.472223264704</v>
      </c>
      <c r="M31" s="49">
        <f t="shared" si="3"/>
        <v>23</v>
      </c>
      <c r="N31" s="50" t="s">
        <v>37</v>
      </c>
      <c r="O31" s="50">
        <f>-PPMT(P3,M31,M32,P2,0,0)</f>
        <v>45329.945922017949</v>
      </c>
      <c r="P31" s="50">
        <f>-IPMT(P3,M31,M32,P2,0,0)</f>
        <v>1743.5263012468447</v>
      </c>
      <c r="Q31" s="82">
        <f t="shared" si="4"/>
        <v>47073.472223264791</v>
      </c>
      <c r="Y31" s="83">
        <f t="shared" si="5"/>
        <v>31671.628066635585</v>
      </c>
    </row>
    <row r="32" spans="1:25" ht="19.5" thickBot="1" x14ac:dyDescent="0.35">
      <c r="A32" s="8"/>
      <c r="B32" s="8"/>
      <c r="C32" s="8"/>
      <c r="D32" s="15"/>
      <c r="E32" s="28">
        <f t="shared" si="1"/>
        <v>24</v>
      </c>
      <c r="F32" s="29" t="s">
        <v>38</v>
      </c>
      <c r="G32" s="29">
        <f>-PPMT(H3,E32,E32,H2,0,0)</f>
        <v>46607.39824085615</v>
      </c>
      <c r="H32" s="29">
        <f>-IPMT(H3,E32,E32,H2,0,0)</f>
        <v>466.07398240856151</v>
      </c>
      <c r="I32" s="25">
        <f t="shared" si="2"/>
        <v>47073.472223264711</v>
      </c>
      <c r="K32" s="43">
        <f t="shared" si="0"/>
        <v>-47073.472223264711</v>
      </c>
      <c r="M32" s="49">
        <f t="shared" si="3"/>
        <v>24</v>
      </c>
      <c r="N32" s="50" t="s">
        <v>38</v>
      </c>
      <c r="O32" s="50">
        <f>-PPMT(P3,M32,M32,P2,0,0)</f>
        <v>46193.48385045457</v>
      </c>
      <c r="P32" s="50">
        <f>-IPMT(P3,M32,M32,P2,0,0)</f>
        <v>879.98837281022418</v>
      </c>
      <c r="Q32" s="82">
        <f t="shared" si="4"/>
        <v>47073.472223264791</v>
      </c>
      <c r="Y32" s="83">
        <f t="shared" ref="Y32" si="6">Q32/(1+$P$3)^(M32-2)</f>
        <v>31079.560748668871</v>
      </c>
    </row>
    <row r="33" spans="1:17" ht="19.5" thickBot="1" x14ac:dyDescent="0.35">
      <c r="A33" s="8"/>
      <c r="B33" s="8"/>
      <c r="C33" s="8"/>
      <c r="E33" s="34"/>
      <c r="F33" s="33"/>
      <c r="G33" s="66">
        <f>SUM(G9:G32)</f>
        <v>1000000</v>
      </c>
      <c r="H33" s="66">
        <f>SUM(H9:H32)</f>
        <v>129763.33335835305</v>
      </c>
      <c r="I33" s="26">
        <f>SUM(I9:I32)</f>
        <v>1129763.3333583532</v>
      </c>
      <c r="M33" s="52"/>
      <c r="N33" s="53"/>
      <c r="O33" s="67">
        <f>SUM(O9:O32)</f>
        <v>900000</v>
      </c>
      <c r="P33" s="67">
        <f>SUM(P9:P32)</f>
        <v>229763.33335835484</v>
      </c>
      <c r="Q33" s="62">
        <f>SUM(Q9:Q32)</f>
        <v>1129763.3333583546</v>
      </c>
    </row>
  </sheetData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2024-06-28T04:04:11Z</dcterms:created>
  <dcterms:modified xsi:type="dcterms:W3CDTF">2024-07-01T20:37:41Z</dcterms:modified>
</cp:coreProperties>
</file>