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Mi unidad\FREDDY\05.-LIBROS\Vender On Line\NIIF 1 regalado\NIIF 1 DIGITAL\"/>
    </mc:Choice>
  </mc:AlternateContent>
  <xr:revisionPtr revIDLastSave="0" documentId="13_ncr:1_{2919D7D6-DC0B-4A18-BCB5-DD67A17432FF}" xr6:coauthVersionLast="47" xr6:coauthVersionMax="47" xr10:uidLastSave="{00000000-0000-0000-0000-000000000000}"/>
  <bookViews>
    <workbookView xWindow="-120" yWindow="-120" windowWidth="29040" windowHeight="15720" tabRatio="863" firstSheet="1" activeTab="2" xr2:uid="{00000000-000D-0000-FFFF-FFFF00000000}"/>
  </bookViews>
  <sheets>
    <sheet name="Diagnóstico (2)" sheetId="21" state="hidden" r:id="rId1"/>
    <sheet name="Diagnóstico" sheetId="1" r:id="rId2"/>
    <sheet name="Matriz" sheetId="2" r:id="rId3"/>
    <sheet name="Asientos-1" sheetId="3" r:id="rId4"/>
    <sheet name="Reconciliación 1" sheetId="7" r:id="rId5"/>
    <sheet name="Reconciliación 2" sheetId="5" r:id="rId6"/>
    <sheet name="Reconciliación 3" sheetId="11" r:id="rId7"/>
    <sheet name="EEFF en NIIF" sheetId="10" r:id="rId8"/>
    <sheet name="TECNICA DE ADECUACION (2)" sheetId="18" state="hidden" r:id="rId9"/>
    <sheet name="TECNICA DE ADECUACION" sheetId="17" state="hidden" r:id="rId10"/>
    <sheet name="Hoja3" sheetId="14" state="hidden" r:id="rId11"/>
    <sheet name="Hoja2" sheetId="13" state="hidden" r:id="rId12"/>
    <sheet name="Hoja5" sheetId="16" state="hidden" r:id="rId13"/>
    <sheet name="Hoja8" sheetId="19" state="hidden" r:id="rId14"/>
    <sheet name="Hoja9" sheetId="20" state="hidden" r:id="rId15"/>
    <sheet name="Hoja4" sheetId="15" state="hidden" r:id="rId16"/>
    <sheet name="Hoja1" sheetId="12" state="hidden" r:id="rId17"/>
  </sheets>
  <definedNames>
    <definedName name="_xlnm.Print_Area" localSheetId="3">'Asientos-1'!$A$2:$P$406</definedName>
    <definedName name="_xlnm.Print_Area" localSheetId="1">Diagnóstico!$A$5:$O$45</definedName>
    <definedName name="_xlnm.Print_Area" localSheetId="0">'Diagnóstico (2)'!$A$1:$O$41</definedName>
    <definedName name="_xlnm.Print_Area" localSheetId="7">'EEFF en NIIF'!$A$1:$F$46</definedName>
    <definedName name="_xlnm.Print_Area" localSheetId="2">Matriz!$A$1:$N$77</definedName>
    <definedName name="_xlnm.Print_Area" localSheetId="4">'Reconciliación 1'!$A$1:$I$65</definedName>
    <definedName name="_xlnm.Print_Area" localSheetId="5">'Reconciliación 2'!$A$1:$J$49</definedName>
    <definedName name="_xlnm.Print_Area" localSheetId="6">'Reconciliación 3'!$B$1:$AH$39</definedName>
    <definedName name="_xlnm.Print_Titles" localSheetId="3">'Asientos-1'!$2:$3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" i="3" l="1"/>
  <c r="C46" i="2"/>
  <c r="D46" i="2"/>
  <c r="D45" i="2"/>
  <c r="F48" i="3"/>
  <c r="H227" i="3"/>
  <c r="H226" i="3"/>
  <c r="H215" i="3"/>
  <c r="H202" i="3"/>
  <c r="H201" i="3"/>
  <c r="H401" i="3"/>
  <c r="H400" i="3"/>
  <c r="H384" i="3"/>
  <c r="H383" i="3"/>
  <c r="H379" i="3"/>
  <c r="H378" i="3"/>
  <c r="H367" i="3"/>
  <c r="H366" i="3"/>
  <c r="H365" i="3"/>
  <c r="H315" i="3"/>
  <c r="H314" i="3"/>
  <c r="H313" i="3"/>
  <c r="H327" i="3"/>
  <c r="H326" i="3"/>
  <c r="H325" i="3"/>
  <c r="H304" i="3"/>
  <c r="H303" i="3"/>
  <c r="H302" i="3"/>
  <c r="H277" i="3"/>
  <c r="H276" i="3"/>
  <c r="H281" i="3"/>
  <c r="H280" i="3"/>
  <c r="H279" i="3"/>
  <c r="H285" i="3"/>
  <c r="H284" i="3"/>
  <c r="H283" i="3"/>
  <c r="H266" i="3"/>
  <c r="H265" i="3"/>
  <c r="H264" i="3"/>
  <c r="H256" i="3"/>
  <c r="H255" i="3"/>
  <c r="H254" i="3"/>
  <c r="H252" i="3"/>
  <c r="H251" i="3"/>
  <c r="H246" i="3"/>
  <c r="H245" i="3"/>
  <c r="D11" i="7" s="1"/>
  <c r="H232" i="3"/>
  <c r="H231" i="3"/>
  <c r="H230" i="3"/>
  <c r="H229" i="3"/>
  <c r="H214" i="3"/>
  <c r="H213" i="3"/>
  <c r="H212" i="3"/>
  <c r="H199" i="3"/>
  <c r="H198" i="3"/>
  <c r="H197" i="3"/>
  <c r="H178" i="3"/>
  <c r="H177" i="3"/>
  <c r="H157" i="3"/>
  <c r="H156" i="3"/>
  <c r="H155" i="3"/>
  <c r="H136" i="3"/>
  <c r="H135" i="3"/>
  <c r="H134" i="3"/>
  <c r="H130" i="3"/>
  <c r="H129" i="3"/>
  <c r="H123" i="3"/>
  <c r="H122" i="3"/>
  <c r="H103" i="3"/>
  <c r="H102" i="3"/>
  <c r="H101" i="3"/>
  <c r="H85" i="3"/>
  <c r="H84" i="3"/>
  <c r="H83" i="3"/>
  <c r="H54" i="3"/>
  <c r="H53" i="3"/>
  <c r="H52" i="3"/>
  <c r="H41" i="3"/>
  <c r="H40" i="3"/>
  <c r="H39" i="3"/>
  <c r="H31" i="3"/>
  <c r="H30" i="3"/>
  <c r="H29" i="3"/>
  <c r="H24" i="3"/>
  <c r="H23" i="3"/>
  <c r="H22" i="3"/>
  <c r="H21" i="3"/>
  <c r="H16" i="3"/>
  <c r="H15" i="3"/>
  <c r="H11" i="3"/>
  <c r="D28" i="7"/>
  <c r="H10" i="3"/>
  <c r="H44" i="5"/>
  <c r="H43" i="5"/>
  <c r="H35" i="5"/>
  <c r="H34" i="5"/>
  <c r="H33" i="5"/>
  <c r="H32" i="5"/>
  <c r="H31" i="5"/>
  <c r="H30" i="5"/>
  <c r="H25" i="5"/>
  <c r="H24" i="5"/>
  <c r="H23" i="5"/>
  <c r="H22" i="5"/>
  <c r="H21" i="5"/>
  <c r="H20" i="5"/>
  <c r="H19" i="5"/>
  <c r="H18" i="5"/>
  <c r="H17" i="5"/>
  <c r="H13" i="5"/>
  <c r="H12" i="5"/>
  <c r="H11" i="5"/>
  <c r="H10" i="5"/>
  <c r="H9" i="5"/>
  <c r="H8" i="5"/>
  <c r="H7" i="5"/>
  <c r="H6" i="5"/>
  <c r="D70" i="5"/>
  <c r="D69" i="5"/>
  <c r="D66" i="5"/>
  <c r="D65" i="5"/>
  <c r="D62" i="5"/>
  <c r="D61" i="5"/>
  <c r="D60" i="5"/>
  <c r="D57" i="5"/>
  <c r="D56" i="5"/>
  <c r="D55" i="5"/>
  <c r="E163" i="3"/>
  <c r="E164" i="3" s="1"/>
  <c r="E167" i="3"/>
  <c r="E168" i="3" s="1"/>
  <c r="O313" i="3"/>
  <c r="P315" i="3"/>
  <c r="C11" i="7" l="1"/>
  <c r="E169" i="3"/>
  <c r="E170" i="3" s="1"/>
  <c r="E171" i="3" s="1"/>
  <c r="F358" i="3"/>
  <c r="A38" i="21"/>
  <c r="A22" i="21" s="1"/>
  <c r="A23" i="21" s="1"/>
  <c r="A24" i="21" s="1"/>
  <c r="A25" i="21" s="1"/>
  <c r="A26" i="21" s="1"/>
  <c r="A27" i="21" s="1"/>
  <c r="A19" i="21" s="1"/>
  <c r="A28" i="21" s="1"/>
  <c r="A29" i="21" s="1"/>
  <c r="A30" i="21" s="1"/>
  <c r="A11" i="21" s="1"/>
  <c r="A39" i="21" s="1"/>
  <c r="A12" i="21" s="1"/>
  <c r="A13" i="21" s="1"/>
  <c r="A14" i="21" s="1"/>
  <c r="A40" i="21" s="1"/>
  <c r="A41" i="21" s="1"/>
  <c r="A31" i="21" s="1"/>
  <c r="A15" i="21" s="1"/>
  <c r="A16" i="21" s="1"/>
  <c r="A32" i="21" s="1"/>
  <c r="A20" i="21" s="1"/>
  <c r="A33" i="21" s="1"/>
  <c r="A34" i="21" s="1"/>
  <c r="A17" i="21" s="1"/>
  <c r="A35" i="21" s="1"/>
  <c r="A36" i="21" s="1"/>
  <c r="A21" i="21" s="1"/>
  <c r="A18" i="21" s="1"/>
  <c r="F3" i="20" l="1"/>
  <c r="F2" i="20"/>
  <c r="F1" i="20"/>
  <c r="D21" i="19"/>
  <c r="D22" i="19" s="1"/>
  <c r="D23" i="19" s="1"/>
  <c r="D24" i="19" s="1"/>
  <c r="D25" i="19" s="1"/>
  <c r="L6" i="19"/>
  <c r="K5" i="19" s="1"/>
  <c r="K2" i="19"/>
  <c r="L3" i="19" s="1"/>
  <c r="D12" i="19"/>
  <c r="D13" i="19" s="1"/>
  <c r="D14" i="19" s="1"/>
  <c r="D15" i="19" s="1"/>
  <c r="D16" i="19" s="1"/>
  <c r="A12" i="19"/>
  <c r="A13" i="19" s="1"/>
  <c r="A14" i="19" s="1"/>
  <c r="A15" i="19" s="1"/>
  <c r="A16" i="19" s="1"/>
  <c r="G7" i="19"/>
  <c r="G16" i="19" s="1"/>
  <c r="F7" i="19"/>
  <c r="F6" i="19"/>
  <c r="F5" i="19"/>
  <c r="F4" i="19"/>
  <c r="F3" i="19"/>
  <c r="K8" i="19" s="1"/>
  <c r="E5" i="19"/>
  <c r="G5" i="19" s="1"/>
  <c r="G14" i="19" s="1"/>
  <c r="E6" i="19"/>
  <c r="E7" i="19"/>
  <c r="E4" i="19"/>
  <c r="E3" i="19"/>
  <c r="K9" i="19" s="1"/>
  <c r="B3" i="19"/>
  <c r="B11" i="19" s="1"/>
  <c r="E190" i="3"/>
  <c r="F190" i="3"/>
  <c r="G190" i="3"/>
  <c r="F183" i="3"/>
  <c r="G183" i="3"/>
  <c r="E114" i="3"/>
  <c r="E95" i="3"/>
  <c r="E91" i="3"/>
  <c r="H9" i="18"/>
  <c r="H10" i="18" s="1"/>
  <c r="D9" i="18"/>
  <c r="D10" i="18" s="1"/>
  <c r="F8" i="18"/>
  <c r="F9" i="18" s="1"/>
  <c r="L14" i="18"/>
  <c r="M14" i="18" s="1"/>
  <c r="M13" i="18"/>
  <c r="K12" i="18"/>
  <c r="K15" i="18" s="1"/>
  <c r="M5" i="18"/>
  <c r="L4" i="18"/>
  <c r="K4" i="18"/>
  <c r="K7" i="18" s="1"/>
  <c r="H4" i="18"/>
  <c r="F4" i="18"/>
  <c r="F5" i="18" s="1"/>
  <c r="D4" i="18"/>
  <c r="D5" i="18" s="1"/>
  <c r="M3" i="18"/>
  <c r="M2" i="18"/>
  <c r="M4" i="18" s="1"/>
  <c r="L14" i="17"/>
  <c r="M14" i="17" s="1"/>
  <c r="K12" i="17"/>
  <c r="K15" i="17"/>
  <c r="M13" i="17"/>
  <c r="M5" i="17"/>
  <c r="K4" i="17"/>
  <c r="K7" i="17" s="1"/>
  <c r="L4" i="17"/>
  <c r="M3" i="17"/>
  <c r="M2" i="17"/>
  <c r="H9" i="17"/>
  <c r="H10" i="17" s="1"/>
  <c r="H19" i="17" s="1"/>
  <c r="F9" i="17"/>
  <c r="F10" i="17" s="1"/>
  <c r="F19" i="17" s="1"/>
  <c r="D9" i="17"/>
  <c r="D10" i="17" s="1"/>
  <c r="D19" i="17" s="1"/>
  <c r="H4" i="17"/>
  <c r="H5" i="17" s="1"/>
  <c r="F4" i="17"/>
  <c r="F5" i="17" s="1"/>
  <c r="D4" i="17"/>
  <c r="D5" i="17" s="1"/>
  <c r="G6" i="19" l="1"/>
  <c r="G15" i="19" s="1"/>
  <c r="M4" i="17"/>
  <c r="G4" i="19"/>
  <c r="G13" i="19" s="1"/>
  <c r="L16" i="19"/>
  <c r="F15" i="18"/>
  <c r="D12" i="17"/>
  <c r="F12" i="17"/>
  <c r="G3" i="19"/>
  <c r="G12" i="19" s="1"/>
  <c r="E12" i="19"/>
  <c r="H12" i="17"/>
  <c r="H20" i="17"/>
  <c r="H21" i="17" s="1"/>
  <c r="H22" i="17" s="1"/>
  <c r="G26" i="17" s="1"/>
  <c r="D20" i="17"/>
  <c r="D21" i="17" s="1"/>
  <c r="D22" i="17" s="1"/>
  <c r="C26" i="17" s="1"/>
  <c r="D28" i="17" s="1"/>
  <c r="F28" i="17" s="1"/>
  <c r="F20" i="17"/>
  <c r="F21" i="17" s="1"/>
  <c r="F22" i="17" s="1"/>
  <c r="E26" i="17" s="1"/>
  <c r="G4" i="18"/>
  <c r="E8" i="19"/>
  <c r="G9" i="17"/>
  <c r="F8" i="19"/>
  <c r="G9" i="18"/>
  <c r="D12" i="18"/>
  <c r="D15" i="18"/>
  <c r="C17" i="18" s="1"/>
  <c r="L10" i="18" s="1"/>
  <c r="M10" i="18" s="1"/>
  <c r="H15" i="18"/>
  <c r="E4" i="18"/>
  <c r="H5" i="18"/>
  <c r="H12" i="18" s="1"/>
  <c r="E9" i="18"/>
  <c r="F10" i="18"/>
  <c r="F12" i="18" s="1"/>
  <c r="F15" i="17"/>
  <c r="E4" i="17"/>
  <c r="D15" i="17"/>
  <c r="C17" i="17" s="1"/>
  <c r="L10" i="17" s="1"/>
  <c r="E9" i="17"/>
  <c r="G4" i="17"/>
  <c r="G16" i="17" s="1"/>
  <c r="H15" i="17"/>
  <c r="G8" i="16"/>
  <c r="G9" i="16" s="1"/>
  <c r="E8" i="16"/>
  <c r="E9" i="16" s="1"/>
  <c r="C8" i="16"/>
  <c r="C9" i="16" s="1"/>
  <c r="E3" i="16"/>
  <c r="E4" i="16" s="1"/>
  <c r="C3" i="16"/>
  <c r="C4" i="16" s="1"/>
  <c r="C11" i="16" l="1"/>
  <c r="C12" i="16" s="1"/>
  <c r="D17" i="16" s="1"/>
  <c r="C15" i="16" s="1"/>
  <c r="E15" i="16" s="1"/>
  <c r="G8" i="19"/>
  <c r="L10" i="19"/>
  <c r="E11" i="16"/>
  <c r="E12" i="16" s="1"/>
  <c r="F17" i="16" s="1"/>
  <c r="E16" i="16" s="1"/>
  <c r="E16" i="18"/>
  <c r="L11" i="18" s="1"/>
  <c r="M11" i="18" s="1"/>
  <c r="B12" i="19"/>
  <c r="B13" i="19" s="1"/>
  <c r="B14" i="19" s="1"/>
  <c r="B15" i="19" s="1"/>
  <c r="B16" i="19" s="1"/>
  <c r="G15" i="16"/>
  <c r="E17" i="17"/>
  <c r="G3" i="16"/>
  <c r="G4" i="16" s="1"/>
  <c r="G11" i="16" s="1"/>
  <c r="G12" i="16" s="1"/>
  <c r="H17" i="16" s="1"/>
  <c r="E16" i="17"/>
  <c r="L11" i="17" s="1"/>
  <c r="M11" i="17" s="1"/>
  <c r="F27" i="17"/>
  <c r="H28" i="17" s="1"/>
  <c r="H27" i="17" s="1"/>
  <c r="M10" i="17"/>
  <c r="G16" i="18"/>
  <c r="G17" i="18" s="1"/>
  <c r="L6" i="18" s="1"/>
  <c r="M6" i="18" s="1"/>
  <c r="M7" i="18" s="1"/>
  <c r="B17" i="19"/>
  <c r="F12" i="19" s="1"/>
  <c r="M12" i="18"/>
  <c r="M15" i="18" s="1"/>
  <c r="L12" i="18"/>
  <c r="L15" i="18" s="1"/>
  <c r="E17" i="18"/>
  <c r="G17" i="17"/>
  <c r="L6" i="17" s="1"/>
  <c r="B344" i="3"/>
  <c r="M12" i="17" l="1"/>
  <c r="M15" i="17" s="1"/>
  <c r="L7" i="17"/>
  <c r="M6" i="17"/>
  <c r="M7" i="17" s="1"/>
  <c r="H12" i="19"/>
  <c r="E13" i="19" s="1"/>
  <c r="F21" i="19"/>
  <c r="L7" i="18"/>
  <c r="L12" i="17"/>
  <c r="L15" i="17" s="1"/>
  <c r="V10" i="15"/>
  <c r="V12" i="15" s="1"/>
  <c r="X3" i="15" s="1"/>
  <c r="V3" i="15"/>
  <c r="W5" i="15" s="1"/>
  <c r="Y5" i="15" s="1"/>
  <c r="O13" i="15"/>
  <c r="M12" i="15"/>
  <c r="M15" i="15" s="1"/>
  <c r="K13" i="15"/>
  <c r="K11" i="15"/>
  <c r="K10" i="15"/>
  <c r="J12" i="15"/>
  <c r="I12" i="15"/>
  <c r="I15" i="15" s="1"/>
  <c r="E12" i="15"/>
  <c r="D12" i="15"/>
  <c r="D13" i="15" s="1"/>
  <c r="C12" i="15"/>
  <c r="C13" i="15" s="1"/>
  <c r="E5" i="15"/>
  <c r="E6" i="15" s="1"/>
  <c r="D5" i="15"/>
  <c r="D6" i="15" s="1"/>
  <c r="D16" i="15" s="1"/>
  <c r="L5" i="15" s="1"/>
  <c r="C5" i="15"/>
  <c r="C6" i="15" s="1"/>
  <c r="C16" i="15" s="1"/>
  <c r="J5" i="15" s="1"/>
  <c r="I7" i="15" s="1"/>
  <c r="N10" i="15" s="1"/>
  <c r="X4" i="15" l="1"/>
  <c r="M6" i="15"/>
  <c r="O10" i="15"/>
  <c r="F13" i="19"/>
  <c r="K12" i="19"/>
  <c r="L13" i="19" s="1"/>
  <c r="L17" i="19" s="1"/>
  <c r="L18" i="19" s="1"/>
  <c r="E13" i="15"/>
  <c r="E16" i="15" s="1"/>
  <c r="N5" i="15" s="1"/>
  <c r="M7" i="15" s="1"/>
  <c r="J14" i="15" s="1"/>
  <c r="K14" i="15" s="1"/>
  <c r="K6" i="15"/>
  <c r="K12" i="15"/>
  <c r="K15" i="15" l="1"/>
  <c r="F22" i="19"/>
  <c r="H13" i="19"/>
  <c r="E14" i="19" s="1"/>
  <c r="F14" i="19" s="1"/>
  <c r="K7" i="15"/>
  <c r="N11" i="15"/>
  <c r="J15" i="15"/>
  <c r="G188" i="3"/>
  <c r="E183" i="3"/>
  <c r="G114" i="3"/>
  <c r="E3" i="13"/>
  <c r="E2" i="13"/>
  <c r="E1" i="13"/>
  <c r="H14" i="19" l="1"/>
  <c r="E15" i="19" s="1"/>
  <c r="F23" i="19"/>
  <c r="O11" i="15"/>
  <c r="O12" i="15" s="1"/>
  <c r="O15" i="15" s="1"/>
  <c r="N12" i="15"/>
  <c r="N15" i="15" s="1"/>
  <c r="E4" i="13"/>
  <c r="D58" i="5"/>
  <c r="D63" i="5" s="1"/>
  <c r="D68" i="5" s="1"/>
  <c r="D71" i="5" s="1"/>
  <c r="F15" i="19" l="1"/>
  <c r="G145" i="3"/>
  <c r="F145" i="3"/>
  <c r="E145" i="3"/>
  <c r="F24" i="19" l="1"/>
  <c r="H15" i="19"/>
  <c r="E16" i="19" s="1"/>
  <c r="F16" i="19" s="1"/>
  <c r="F17" i="19" s="1"/>
  <c r="F19" i="19" s="1"/>
  <c r="F60" i="3"/>
  <c r="H16" i="19" l="1"/>
  <c r="F25" i="19"/>
  <c r="F26" i="19" s="1"/>
  <c r="D6" i="5"/>
  <c r="D7" i="5"/>
  <c r="D8" i="5"/>
  <c r="D9" i="5"/>
  <c r="D10" i="5"/>
  <c r="D11" i="5"/>
  <c r="D12" i="5"/>
  <c r="D13" i="5"/>
  <c r="D17" i="5"/>
  <c r="D18" i="5"/>
  <c r="D19" i="5"/>
  <c r="D20" i="5"/>
  <c r="D21" i="5"/>
  <c r="D22" i="5"/>
  <c r="D23" i="5"/>
  <c r="D25" i="5"/>
  <c r="D30" i="5"/>
  <c r="D31" i="5"/>
  <c r="D32" i="5"/>
  <c r="D33" i="5"/>
  <c r="D34" i="5"/>
  <c r="D35" i="5"/>
  <c r="D43" i="5"/>
  <c r="D44" i="5"/>
  <c r="D45" i="5"/>
  <c r="AF9" i="11"/>
  <c r="AH9" i="11" s="1"/>
  <c r="AE7" i="11"/>
  <c r="AH7" i="11" s="1"/>
  <c r="D56" i="7"/>
  <c r="AH17" i="11"/>
  <c r="AH15" i="11"/>
  <c r="O5" i="11"/>
  <c r="N5" i="11"/>
  <c r="Q17" i="11"/>
  <c r="Q15" i="11"/>
  <c r="Q9" i="11"/>
  <c r="Q7" i="11"/>
  <c r="C11" i="2"/>
  <c r="H14" i="7"/>
  <c r="F259" i="3"/>
  <c r="F260" i="3" s="1"/>
  <c r="G259" i="3"/>
  <c r="N256" i="3" s="1"/>
  <c r="M255" i="3" s="1"/>
  <c r="C47" i="7" s="1"/>
  <c r="C63" i="2"/>
  <c r="C68" i="2" s="1"/>
  <c r="C74" i="2" s="1"/>
  <c r="C77" i="2" s="1"/>
  <c r="D63" i="2"/>
  <c r="D68" i="2" s="1"/>
  <c r="D74" i="2" s="1"/>
  <c r="D77" i="2" s="1"/>
  <c r="I30" i="7"/>
  <c r="K265" i="3"/>
  <c r="P266" i="3"/>
  <c r="G272" i="3"/>
  <c r="F270" i="3" s="1"/>
  <c r="P252" i="3"/>
  <c r="O264" i="3" l="1"/>
  <c r="F272" i="3"/>
  <c r="AE5" i="11"/>
  <c r="AE13" i="11" s="1"/>
  <c r="AE23" i="11" s="1"/>
  <c r="O11" i="11"/>
  <c r="D73" i="5"/>
  <c r="K254" i="3"/>
  <c r="H36" i="7"/>
  <c r="D14" i="5"/>
  <c r="D26" i="5" s="1"/>
  <c r="D36" i="5"/>
  <c r="D46" i="5"/>
  <c r="I14" i="7"/>
  <c r="G260" i="3"/>
  <c r="L256" i="3"/>
  <c r="N266" i="3"/>
  <c r="M383" i="3"/>
  <c r="K383" i="3" s="1"/>
  <c r="L384" i="3" s="1"/>
  <c r="L379" i="3"/>
  <c r="N379" i="3"/>
  <c r="P379" i="3"/>
  <c r="O365" i="3"/>
  <c r="D30" i="7" s="1"/>
  <c r="O283" i="3"/>
  <c r="M283" i="3" s="1"/>
  <c r="P246" i="3"/>
  <c r="N246" i="3"/>
  <c r="L246" i="3"/>
  <c r="K31" i="3"/>
  <c r="M31" i="3"/>
  <c r="L24" i="3"/>
  <c r="N24" i="3"/>
  <c r="K198" i="3"/>
  <c r="L199" i="3" s="1"/>
  <c r="M198" i="3"/>
  <c r="K201" i="3" s="1"/>
  <c r="L202" i="3" s="1"/>
  <c r="O129" i="3"/>
  <c r="K122" i="3"/>
  <c r="L123" i="3" s="1"/>
  <c r="M122" i="3"/>
  <c r="N123" i="3" s="1"/>
  <c r="O122" i="3"/>
  <c r="L41" i="3"/>
  <c r="P40" i="3"/>
  <c r="L16" i="3"/>
  <c r="N16" i="3"/>
  <c r="L11" i="3"/>
  <c r="N11" i="3"/>
  <c r="P11" i="3"/>
  <c r="K400" i="3"/>
  <c r="L401" i="3" s="1"/>
  <c r="M400" i="3"/>
  <c r="C33" i="7" s="1"/>
  <c r="O400" i="3"/>
  <c r="D33" i="7" s="1"/>
  <c r="P384" i="3"/>
  <c r="G373" i="3"/>
  <c r="F371" i="3" s="1"/>
  <c r="E358" i="3"/>
  <c r="C343" i="3"/>
  <c r="C352" i="3"/>
  <c r="D339" i="3"/>
  <c r="D338" i="3"/>
  <c r="D337" i="3"/>
  <c r="D336" i="3"/>
  <c r="C339" i="3"/>
  <c r="E359" i="3" s="1"/>
  <c r="C338" i="3"/>
  <c r="C337" i="3"/>
  <c r="C336" i="3"/>
  <c r="F320" i="3"/>
  <c r="E307" i="3"/>
  <c r="F307" i="3"/>
  <c r="F309" i="3" s="1"/>
  <c r="M303" i="3" s="1"/>
  <c r="K284" i="3"/>
  <c r="M284" i="3"/>
  <c r="O276" i="3"/>
  <c r="G296" i="3"/>
  <c r="M251" i="3"/>
  <c r="K251" i="3"/>
  <c r="G240" i="3"/>
  <c r="O226" i="3" s="1"/>
  <c r="F240" i="3"/>
  <c r="M226" i="3" s="1"/>
  <c r="N227" i="3" s="1"/>
  <c r="E240" i="3"/>
  <c r="K226" i="3" s="1"/>
  <c r="L227" i="3" s="1"/>
  <c r="G239" i="3"/>
  <c r="F239" i="3"/>
  <c r="E239" i="3"/>
  <c r="K229" i="3" s="1"/>
  <c r="L230" i="3" s="1"/>
  <c r="E222" i="3"/>
  <c r="K212" i="3" s="1"/>
  <c r="F222" i="3"/>
  <c r="M212" i="3" s="1"/>
  <c r="C45" i="7" s="1"/>
  <c r="G222" i="3"/>
  <c r="O197" i="3"/>
  <c r="D22" i="7" s="1"/>
  <c r="E184" i="3"/>
  <c r="F184" i="3"/>
  <c r="G184" i="3"/>
  <c r="E191" i="3"/>
  <c r="D185" i="3"/>
  <c r="E185" i="3"/>
  <c r="F185" i="3"/>
  <c r="D181" i="3"/>
  <c r="F167" i="3"/>
  <c r="F168" i="3" s="1"/>
  <c r="F169" i="3" s="1"/>
  <c r="F170" i="3" s="1"/>
  <c r="G167" i="3"/>
  <c r="G168" i="3" s="1"/>
  <c r="G169" i="3" s="1"/>
  <c r="G170" i="3" s="1"/>
  <c r="F163" i="3"/>
  <c r="F164" i="3" s="1"/>
  <c r="G163" i="3"/>
  <c r="G164" i="3" s="1"/>
  <c r="C50" i="7" l="1"/>
  <c r="H37" i="7" s="1"/>
  <c r="M264" i="3"/>
  <c r="C26" i="7" s="1"/>
  <c r="D26" i="7"/>
  <c r="I28" i="7" s="1"/>
  <c r="L266" i="3"/>
  <c r="K255" i="3"/>
  <c r="M229" i="3"/>
  <c r="N230" i="3" s="1"/>
  <c r="F359" i="3"/>
  <c r="G359" i="3"/>
  <c r="C340" i="3"/>
  <c r="D340" i="3"/>
  <c r="P401" i="3"/>
  <c r="I35" i="7"/>
  <c r="M365" i="3"/>
  <c r="C30" i="7" s="1"/>
  <c r="I32" i="7"/>
  <c r="M201" i="3"/>
  <c r="C22" i="7" s="1"/>
  <c r="I24" i="7"/>
  <c r="N401" i="3"/>
  <c r="H35" i="7"/>
  <c r="D31" i="7"/>
  <c r="F294" i="3"/>
  <c r="F296" i="3" s="1"/>
  <c r="F373" i="3"/>
  <c r="Q11" i="11"/>
  <c r="P227" i="3"/>
  <c r="P130" i="3"/>
  <c r="D7" i="7" s="1"/>
  <c r="O34" i="11" s="1"/>
  <c r="C40" i="2"/>
  <c r="O39" i="3"/>
  <c r="D14" i="7" s="1"/>
  <c r="L252" i="3"/>
  <c r="N252" i="3"/>
  <c r="N304" i="3"/>
  <c r="D186" i="3"/>
  <c r="B345" i="3"/>
  <c r="E309" i="3"/>
  <c r="L304" i="3" s="1"/>
  <c r="M23" i="3"/>
  <c r="K23" i="3"/>
  <c r="M276" i="3"/>
  <c r="N277" i="3" s="1"/>
  <c r="G289" i="3"/>
  <c r="E336" i="3"/>
  <c r="E352" i="3" s="1"/>
  <c r="P199" i="3"/>
  <c r="N199" i="3"/>
  <c r="E192" i="3"/>
  <c r="N384" i="3"/>
  <c r="M313" i="3"/>
  <c r="C28" i="7" s="1"/>
  <c r="N367" i="3"/>
  <c r="N285" i="3"/>
  <c r="K283" i="3"/>
  <c r="L285" i="3" s="1"/>
  <c r="L214" i="3"/>
  <c r="P277" i="3"/>
  <c r="M265" i="3"/>
  <c r="C48" i="7" s="1"/>
  <c r="P285" i="3"/>
  <c r="P367" i="3"/>
  <c r="N214" i="3"/>
  <c r="P229" i="3"/>
  <c r="K302" i="3"/>
  <c r="K21" i="3"/>
  <c r="M22" i="3"/>
  <c r="K22" i="3"/>
  <c r="M129" i="3"/>
  <c r="M21" i="3"/>
  <c r="E337" i="3"/>
  <c r="E353" i="3" s="1"/>
  <c r="E338" i="3"/>
  <c r="E354" i="3" s="1"/>
  <c r="E339" i="3"/>
  <c r="F321" i="3"/>
  <c r="N315" i="3" s="1"/>
  <c r="E320" i="3"/>
  <c r="O214" i="3"/>
  <c r="G191" i="3"/>
  <c r="F191" i="3"/>
  <c r="G171" i="3"/>
  <c r="O155" i="3" s="1"/>
  <c r="P156" i="3" s="1"/>
  <c r="K155" i="3"/>
  <c r="F171" i="3"/>
  <c r="M155" i="3" s="1"/>
  <c r="F146" i="3"/>
  <c r="F147" i="3" s="1"/>
  <c r="F148" i="3" s="1"/>
  <c r="F149" i="3" s="1"/>
  <c r="E146" i="3"/>
  <c r="E147" i="3" s="1"/>
  <c r="E148" i="3" s="1"/>
  <c r="E149" i="3" s="1"/>
  <c r="G146" i="3"/>
  <c r="G147" i="3" s="1"/>
  <c r="G148" i="3" s="1"/>
  <c r="G149" i="3" s="1"/>
  <c r="G142" i="3"/>
  <c r="G143" i="3" s="1"/>
  <c r="F142" i="3"/>
  <c r="F143" i="3" s="1"/>
  <c r="E142" i="3"/>
  <c r="E143" i="3" s="1"/>
  <c r="P123" i="3"/>
  <c r="N156" i="3" l="1"/>
  <c r="C20" i="7" s="1"/>
  <c r="D20" i="7"/>
  <c r="I22" i="7" s="1"/>
  <c r="L231" i="3"/>
  <c r="I16" i="7"/>
  <c r="K177" i="3"/>
  <c r="L178" i="3" s="1"/>
  <c r="N202" i="3"/>
  <c r="C43" i="7" s="1"/>
  <c r="C344" i="3"/>
  <c r="E340" i="3"/>
  <c r="C31" i="7"/>
  <c r="I33" i="7"/>
  <c r="I10" i="7"/>
  <c r="H10" i="7"/>
  <c r="K264" i="3"/>
  <c r="H28" i="7"/>
  <c r="M366" i="3"/>
  <c r="C53" i="7" s="1"/>
  <c r="D9" i="7"/>
  <c r="I9" i="7"/>
  <c r="B346" i="3"/>
  <c r="E294" i="3"/>
  <c r="E296" i="3" s="1"/>
  <c r="L367" i="3"/>
  <c r="D40" i="2"/>
  <c r="D38" i="5" s="1"/>
  <c r="D39" i="5" s="1"/>
  <c r="D47" i="5" s="1"/>
  <c r="D49" i="5" s="1"/>
  <c r="E40" i="2"/>
  <c r="H38" i="5" s="1"/>
  <c r="K276" i="3"/>
  <c r="L277" i="3" s="1"/>
  <c r="G290" i="3"/>
  <c r="F289" i="3"/>
  <c r="F192" i="3"/>
  <c r="G192" i="3"/>
  <c r="N314" i="3"/>
  <c r="C51" i="7" s="1"/>
  <c r="P213" i="3"/>
  <c r="D24" i="7" s="1"/>
  <c r="O231" i="3"/>
  <c r="D25" i="7" s="1"/>
  <c r="K303" i="3"/>
  <c r="K129" i="3"/>
  <c r="L130" i="3" s="1"/>
  <c r="N130" i="3"/>
  <c r="C7" i="7" s="1"/>
  <c r="C345" i="3"/>
  <c r="C346" i="3"/>
  <c r="E355" i="3"/>
  <c r="C347" i="3"/>
  <c r="E319" i="3"/>
  <c r="E150" i="3"/>
  <c r="K134" i="3" s="1"/>
  <c r="G150" i="3"/>
  <c r="O134" i="3" s="1"/>
  <c r="F150" i="3"/>
  <c r="M134" i="3" s="1"/>
  <c r="E115" i="3"/>
  <c r="F115" i="3"/>
  <c r="F114" i="3"/>
  <c r="G115" i="3"/>
  <c r="G109" i="3"/>
  <c r="G110" i="3" s="1"/>
  <c r="F109" i="3"/>
  <c r="F110" i="3" s="1"/>
  <c r="E109" i="3"/>
  <c r="E110" i="3" s="1"/>
  <c r="E96" i="3"/>
  <c r="F95" i="3"/>
  <c r="F96" i="3" s="1"/>
  <c r="G95" i="3"/>
  <c r="G96" i="3" s="1"/>
  <c r="E92" i="3"/>
  <c r="F91" i="3"/>
  <c r="F92" i="3" s="1"/>
  <c r="G91" i="3"/>
  <c r="G92" i="3" s="1"/>
  <c r="O177" i="3" l="1"/>
  <c r="D21" i="7" s="1"/>
  <c r="H30" i="7"/>
  <c r="K313" i="3"/>
  <c r="AG5" i="11"/>
  <c r="AG13" i="11" s="1"/>
  <c r="AG23" i="11" s="1"/>
  <c r="H24" i="7"/>
  <c r="N157" i="3"/>
  <c r="C42" i="7" s="1"/>
  <c r="C9" i="7"/>
  <c r="P21" i="11" s="1"/>
  <c r="H9" i="7"/>
  <c r="M231" i="3"/>
  <c r="C25" i="7" s="1"/>
  <c r="I27" i="7"/>
  <c r="N213" i="3"/>
  <c r="I26" i="7"/>
  <c r="K365" i="3"/>
  <c r="K366" i="3" s="1"/>
  <c r="H32" i="7"/>
  <c r="B347" i="3"/>
  <c r="D16" i="7"/>
  <c r="M177" i="3"/>
  <c r="P13" i="11"/>
  <c r="G291" i="3"/>
  <c r="P281" i="3"/>
  <c r="O279" i="3" s="1"/>
  <c r="D27" i="7" s="1"/>
  <c r="E289" i="3"/>
  <c r="F290" i="3"/>
  <c r="E321" i="3"/>
  <c r="K232" i="3"/>
  <c r="P136" i="3"/>
  <c r="D19" i="7" s="1"/>
  <c r="C348" i="3"/>
  <c r="F116" i="3"/>
  <c r="F117" i="3" s="1"/>
  <c r="N103" i="3" s="1"/>
  <c r="F97" i="3"/>
  <c r="N85" i="3" s="1"/>
  <c r="G116" i="3"/>
  <c r="G117" i="3" s="1"/>
  <c r="E97" i="3"/>
  <c r="L85" i="3" s="1"/>
  <c r="E116" i="3"/>
  <c r="E117" i="3" s="1"/>
  <c r="L103" i="3" s="1"/>
  <c r="G97" i="3"/>
  <c r="F62" i="3"/>
  <c r="F63" i="3" s="1"/>
  <c r="E60" i="3"/>
  <c r="E62" i="3" s="1"/>
  <c r="E63" i="3" s="1"/>
  <c r="N54" i="3" s="1"/>
  <c r="D60" i="3"/>
  <c r="M41" i="3"/>
  <c r="C36" i="7" s="1"/>
  <c r="M39" i="3"/>
  <c r="C14" i="7" s="1"/>
  <c r="G48" i="3"/>
  <c r="D17" i="2"/>
  <c r="D28" i="2" s="1"/>
  <c r="C17" i="2"/>
  <c r="C28" i="2" s="1"/>
  <c r="O15" i="3"/>
  <c r="C49" i="2"/>
  <c r="E38" i="2"/>
  <c r="E41" i="2" s="1"/>
  <c r="D38" i="2"/>
  <c r="D41" i="2" s="1"/>
  <c r="C38" i="2"/>
  <c r="C41" i="2" s="1"/>
  <c r="M215" i="3" l="1"/>
  <c r="C24" i="7"/>
  <c r="N178" i="3"/>
  <c r="C21" i="7"/>
  <c r="H23" i="7" s="1"/>
  <c r="C16" i="7"/>
  <c r="D62" i="3"/>
  <c r="D63" i="3" s="1"/>
  <c r="L54" i="3" s="1"/>
  <c r="N232" i="3"/>
  <c r="H26" i="7"/>
  <c r="K213" i="3"/>
  <c r="L215" i="3" s="1"/>
  <c r="H33" i="7"/>
  <c r="H22" i="7"/>
  <c r="L156" i="3"/>
  <c r="L157" i="3" s="1"/>
  <c r="P178" i="3"/>
  <c r="I23" i="7"/>
  <c r="N136" i="3"/>
  <c r="C19" i="7" s="1"/>
  <c r="I21" i="7"/>
  <c r="M279" i="3"/>
  <c r="C27" i="7" s="1"/>
  <c r="I29" i="7"/>
  <c r="I18" i="7"/>
  <c r="D352" i="3"/>
  <c r="N13" i="11"/>
  <c r="F291" i="3"/>
  <c r="N281" i="3"/>
  <c r="E290" i="3"/>
  <c r="L315" i="3"/>
  <c r="L314" i="3" s="1"/>
  <c r="P16" i="3"/>
  <c r="F45" i="3"/>
  <c r="N40" i="3"/>
  <c r="P54" i="3"/>
  <c r="O101" i="3"/>
  <c r="D18" i="7" s="1"/>
  <c r="O83" i="3"/>
  <c r="D17" i="7" s="1"/>
  <c r="C50" i="2"/>
  <c r="C51" i="2" s="1"/>
  <c r="E17" i="2"/>
  <c r="E28" i="2" s="1"/>
  <c r="K39" i="3"/>
  <c r="D49" i="2"/>
  <c r="C4" i="7" s="1"/>
  <c r="E49" i="2"/>
  <c r="D4" i="7" s="1"/>
  <c r="C46" i="7" l="1"/>
  <c r="H27" i="7" s="1"/>
  <c r="H16" i="7"/>
  <c r="F352" i="3"/>
  <c r="C353" i="3" s="1"/>
  <c r="M280" i="3"/>
  <c r="P85" i="3"/>
  <c r="I19" i="7"/>
  <c r="P103" i="3"/>
  <c r="I20" i="7"/>
  <c r="M135" i="3"/>
  <c r="C41" i="7" s="1"/>
  <c r="G352" i="3"/>
  <c r="I5" i="7"/>
  <c r="H5" i="7"/>
  <c r="N23" i="11"/>
  <c r="E291" i="3"/>
  <c r="L281" i="3"/>
  <c r="O52" i="3"/>
  <c r="D15" i="7" s="1"/>
  <c r="M101" i="3"/>
  <c r="C18" i="7" s="1"/>
  <c r="M83" i="3"/>
  <c r="C17" i="7" s="1"/>
  <c r="E50" i="2"/>
  <c r="E51" i="2" s="1"/>
  <c r="D50" i="2"/>
  <c r="D51" i="2" s="1"/>
  <c r="C49" i="7" l="1"/>
  <c r="H29" i="7" s="1"/>
  <c r="C38" i="7"/>
  <c r="H18" i="7" s="1"/>
  <c r="I17" i="7"/>
  <c r="K279" i="3"/>
  <c r="K280" i="3" s="1"/>
  <c r="L136" i="3"/>
  <c r="K135" i="3" s="1"/>
  <c r="H21" i="7"/>
  <c r="D353" i="3"/>
  <c r="G360" i="3"/>
  <c r="G361" i="3" s="1"/>
  <c r="M52" i="3"/>
  <c r="C15" i="7" s="1"/>
  <c r="M102" i="3"/>
  <c r="C40" i="7" s="1"/>
  <c r="L40" i="3"/>
  <c r="M84" i="3"/>
  <c r="C39" i="7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K83" i="3" l="1"/>
  <c r="H19" i="7"/>
  <c r="K101" i="3"/>
  <c r="K102" i="3" s="1"/>
  <c r="H20" i="7"/>
  <c r="O325" i="3"/>
  <c r="F353" i="3"/>
  <c r="G353" i="3"/>
  <c r="M53" i="3"/>
  <c r="C37" i="7" s="1"/>
  <c r="H17" i="7" l="1"/>
  <c r="C354" i="3"/>
  <c r="O405" i="3"/>
  <c r="P327" i="3"/>
  <c r="D29" i="7" s="1"/>
  <c r="F360" i="3"/>
  <c r="F361" i="3" s="1"/>
  <c r="K52" i="3"/>
  <c r="D354" i="3" l="1"/>
  <c r="G354" i="3" s="1"/>
  <c r="M325" i="3"/>
  <c r="N327" i="3"/>
  <c r="C29" i="7" s="1"/>
  <c r="P405" i="3"/>
  <c r="P406" i="3" s="1"/>
  <c r="I34" i="7"/>
  <c r="L53" i="3"/>
  <c r="O13" i="11"/>
  <c r="Q5" i="11"/>
  <c r="F354" i="3" l="1"/>
  <c r="C355" i="3" s="1"/>
  <c r="I31" i="7"/>
  <c r="I38" i="7" s="1"/>
  <c r="O35" i="11"/>
  <c r="AF5" i="11" s="1"/>
  <c r="D34" i="7"/>
  <c r="N405" i="3"/>
  <c r="M326" i="3"/>
  <c r="C52" i="7" s="1"/>
  <c r="Q13" i="11"/>
  <c r="Q25" i="11" s="1"/>
  <c r="Q24" i="11"/>
  <c r="E360" i="3" l="1"/>
  <c r="E361" i="3" s="1"/>
  <c r="D355" i="3"/>
  <c r="G355" i="3" s="1"/>
  <c r="G356" i="3" s="1"/>
  <c r="L327" i="3"/>
  <c r="L405" i="3" s="1"/>
  <c r="D57" i="7"/>
  <c r="I57" i="7" s="1"/>
  <c r="D61" i="7"/>
  <c r="I56" i="7" s="1"/>
  <c r="M405" i="3"/>
  <c r="N406" i="3" s="1"/>
  <c r="H31" i="7"/>
  <c r="C34" i="7"/>
  <c r="F355" i="3"/>
  <c r="O36" i="11"/>
  <c r="D356" i="3" l="1"/>
  <c r="C56" i="7"/>
  <c r="M27" i="7" s="1"/>
  <c r="AH5" i="11"/>
  <c r="K325" i="3"/>
  <c r="H38" i="7"/>
  <c r="O21" i="11" l="1"/>
  <c r="O37" i="11"/>
  <c r="AF11" i="11" s="1"/>
  <c r="AH11" i="11" s="1"/>
  <c r="AI11" i="11" s="1"/>
  <c r="C57" i="7"/>
  <c r="E356" i="3"/>
  <c r="Q21" i="11"/>
  <c r="P23" i="11" s="1"/>
  <c r="C61" i="7"/>
  <c r="H56" i="7" s="1"/>
  <c r="O38" i="11"/>
  <c r="K326" i="3"/>
  <c r="AI5" i="11"/>
  <c r="AF13" i="11" l="1"/>
  <c r="AH13" i="11"/>
  <c r="AI21" i="11"/>
  <c r="J48" i="2"/>
  <c r="K48" i="2"/>
  <c r="H57" i="7"/>
  <c r="H46" i="5" l="1"/>
  <c r="H36" i="5"/>
  <c r="H39" i="5" s="1"/>
  <c r="N48" i="2"/>
  <c r="H47" i="5" l="1"/>
  <c r="K405" i="3"/>
  <c r="L406" i="3" l="1"/>
  <c r="K411" i="3"/>
  <c r="K410" i="3"/>
  <c r="L409" i="3"/>
  <c r="K409" i="3"/>
  <c r="L411" i="3"/>
  <c r="L410" i="3"/>
  <c r="K412" i="3" l="1"/>
  <c r="L412" i="3"/>
  <c r="L413" i="3" l="1"/>
  <c r="J22" i="2"/>
  <c r="I15" i="2"/>
  <c r="G33" i="2"/>
  <c r="G72" i="2"/>
  <c r="K26" i="2"/>
  <c r="F60" i="2"/>
  <c r="I25" i="2"/>
  <c r="H47" i="2"/>
  <c r="G15" i="2"/>
  <c r="J9" i="2"/>
  <c r="F46" i="2"/>
  <c r="H76" i="2"/>
  <c r="H40" i="2"/>
  <c r="J27" i="2"/>
  <c r="G66" i="2"/>
  <c r="J37" i="2"/>
  <c r="G45" i="2"/>
  <c r="K33" i="2"/>
  <c r="H19" i="2"/>
  <c r="I32" i="2"/>
  <c r="I33" i="2"/>
  <c r="I12" i="2"/>
  <c r="I73" i="2"/>
  <c r="H37" i="2"/>
  <c r="G46" i="2"/>
  <c r="H35" i="2"/>
  <c r="J19" i="2"/>
  <c r="G16" i="2"/>
  <c r="H12" i="2"/>
  <c r="K32" i="2"/>
  <c r="G73" i="2"/>
  <c r="I23" i="2"/>
  <c r="G36" i="2"/>
  <c r="I16" i="2"/>
  <c r="J20" i="2"/>
  <c r="F71" i="2"/>
  <c r="F61" i="2"/>
  <c r="H27" i="2"/>
  <c r="H21" i="2"/>
  <c r="F19" i="2"/>
  <c r="G24" i="2"/>
  <c r="F9" i="2"/>
  <c r="K20" i="2"/>
  <c r="I35" i="2"/>
  <c r="H26" i="2"/>
  <c r="H45" i="2"/>
  <c r="K34" i="2"/>
  <c r="F76" i="2"/>
  <c r="N20" i="2" l="1"/>
  <c r="M12" i="2"/>
  <c r="F9" i="5" s="1"/>
  <c r="M35" i="2"/>
  <c r="H75" i="2"/>
  <c r="J11" i="2"/>
  <c r="F25" i="2"/>
  <c r="G26" i="2"/>
  <c r="J24" i="2"/>
  <c r="H11" i="2"/>
  <c r="F15" i="2"/>
  <c r="L15" i="2" s="1"/>
  <c r="D13" i="10" s="1"/>
  <c r="L46" i="2"/>
  <c r="F13" i="2"/>
  <c r="H36" i="2"/>
  <c r="F36" i="2"/>
  <c r="L36" i="2" s="1"/>
  <c r="D34" i="10" s="1"/>
  <c r="J14" i="2"/>
  <c r="G22" i="2"/>
  <c r="F32" i="2"/>
  <c r="F62" i="2"/>
  <c r="I66" i="2"/>
  <c r="G76" i="2"/>
  <c r="L76" i="2" s="1"/>
  <c r="D68" i="10" s="1"/>
  <c r="J15" i="2"/>
  <c r="F26" i="2"/>
  <c r="H10" i="2"/>
  <c r="F27" i="2"/>
  <c r="K14" i="2"/>
  <c r="K21" i="2"/>
  <c r="F37" i="2"/>
  <c r="F66" i="2"/>
  <c r="L66" i="2" s="1"/>
  <c r="D58" i="10" s="1"/>
  <c r="J40" i="2"/>
  <c r="H16" i="2"/>
  <c r="M16" i="2" s="1"/>
  <c r="F13" i="5" s="1"/>
  <c r="E13" i="5" s="1"/>
  <c r="K36" i="2"/>
  <c r="K23" i="2"/>
  <c r="H71" i="2"/>
  <c r="I76" i="2"/>
  <c r="M76" i="2" s="1"/>
  <c r="G12" i="2"/>
  <c r="I45" i="2"/>
  <c r="M45" i="2" s="1"/>
  <c r="I10" i="2"/>
  <c r="H62" i="2"/>
  <c r="H66" i="2"/>
  <c r="K40" i="2"/>
  <c r="H34" i="2"/>
  <c r="F22" i="2"/>
  <c r="G32" i="2"/>
  <c r="I40" i="2"/>
  <c r="M40" i="2" s="1"/>
  <c r="F20" i="2"/>
  <c r="F40" i="2"/>
  <c r="H65" i="2"/>
  <c r="I37" i="2"/>
  <c r="M37" i="2" s="1"/>
  <c r="G34" i="2"/>
  <c r="F35" i="2"/>
  <c r="G35" i="2"/>
  <c r="H9" i="2"/>
  <c r="I13" i="2"/>
  <c r="F45" i="2"/>
  <c r="L45" i="2" s="1"/>
  <c r="D42" i="10" s="1"/>
  <c r="I60" i="2"/>
  <c r="K47" i="2"/>
  <c r="F23" i="2"/>
  <c r="J21" i="2"/>
  <c r="F16" i="2"/>
  <c r="L16" i="2" s="1"/>
  <c r="K22" i="2"/>
  <c r="N22" i="2" s="1"/>
  <c r="H72" i="2"/>
  <c r="K12" i="2"/>
  <c r="I67" i="2"/>
  <c r="G14" i="2"/>
  <c r="H67" i="2"/>
  <c r="I9" i="2"/>
  <c r="F12" i="2"/>
  <c r="K46" i="2"/>
  <c r="K10" i="2"/>
  <c r="G11" i="2"/>
  <c r="H32" i="2"/>
  <c r="M32" i="2" s="1"/>
  <c r="H24" i="2"/>
  <c r="K25" i="2"/>
  <c r="K15" i="2"/>
  <c r="J25" i="2"/>
  <c r="K35" i="2"/>
  <c r="I20" i="2"/>
  <c r="H73" i="2"/>
  <c r="M73" i="2" s="1"/>
  <c r="K9" i="2"/>
  <c r="N9" i="2" s="1"/>
  <c r="H33" i="2"/>
  <c r="M33" i="2" s="1"/>
  <c r="J36" i="2"/>
  <c r="I26" i="2"/>
  <c r="M26" i="2" s="1"/>
  <c r="K16" i="2"/>
  <c r="G27" i="2"/>
  <c r="J32" i="2"/>
  <c r="N32" i="2" s="1"/>
  <c r="F33" i="2"/>
  <c r="L33" i="2" s="1"/>
  <c r="D31" i="10" s="1"/>
  <c r="F72" i="2"/>
  <c r="L72" i="2" s="1"/>
  <c r="D64" i="10" s="1"/>
  <c r="J26" i="2"/>
  <c r="N26" i="2" s="1"/>
  <c r="G25" i="2"/>
  <c r="H61" i="2"/>
  <c r="H46" i="2"/>
  <c r="F47" i="2"/>
  <c r="I65" i="2"/>
  <c r="F73" i="2"/>
  <c r="L73" i="2" s="1"/>
  <c r="D65" i="10" s="1"/>
  <c r="J12" i="2"/>
  <c r="G61" i="2"/>
  <c r="L61" i="2" s="1"/>
  <c r="D53" i="10" s="1"/>
  <c r="K37" i="2"/>
  <c r="N37" i="2" s="1"/>
  <c r="F67" i="2"/>
  <c r="I34" i="2"/>
  <c r="G47" i="2"/>
  <c r="I61" i="2"/>
  <c r="G37" i="2"/>
  <c r="H13" i="2"/>
  <c r="F14" i="2"/>
  <c r="J23" i="2"/>
  <c r="H14" i="2"/>
  <c r="I11" i="2"/>
  <c r="I72" i="2"/>
  <c r="G71" i="2"/>
  <c r="L71" i="2" s="1"/>
  <c r="D63" i="10" s="1"/>
  <c r="G62" i="2"/>
  <c r="J35" i="2"/>
  <c r="G75" i="2"/>
  <c r="J10" i="2"/>
  <c r="I14" i="2"/>
  <c r="J16" i="2"/>
  <c r="H23" i="2"/>
  <c r="M23" i="2" s="1"/>
  <c r="I62" i="2"/>
  <c r="H25" i="2"/>
  <c r="M25" i="2" s="1"/>
  <c r="J47" i="2"/>
  <c r="F75" i="2"/>
  <c r="J33" i="2"/>
  <c r="N33" i="2" s="1"/>
  <c r="F11" i="2"/>
  <c r="I75" i="2"/>
  <c r="E10" i="10"/>
  <c r="G10" i="2"/>
  <c r="H20" i="2"/>
  <c r="I71" i="2"/>
  <c r="K27" i="2"/>
  <c r="N27" i="2" s="1"/>
  <c r="G60" i="2"/>
  <c r="G21" i="2"/>
  <c r="K24" i="2"/>
  <c r="J45" i="2"/>
  <c r="G19" i="2"/>
  <c r="L19" i="2" s="1"/>
  <c r="D17" i="10" s="1"/>
  <c r="I27" i="2"/>
  <c r="M27" i="2" s="1"/>
  <c r="G9" i="2"/>
  <c r="L9" i="2" s="1"/>
  <c r="F21" i="2"/>
  <c r="H60" i="2"/>
  <c r="F34" i="2"/>
  <c r="G13" i="2"/>
  <c r="K45" i="2"/>
  <c r="G20" i="2"/>
  <c r="G23" i="2"/>
  <c r="G67" i="2"/>
  <c r="G65" i="2"/>
  <c r="F24" i="2"/>
  <c r="L24" i="2" s="1"/>
  <c r="D22" i="10" s="1"/>
  <c r="I24" i="2"/>
  <c r="K11" i="2"/>
  <c r="I21" i="2"/>
  <c r="M21" i="2" s="1"/>
  <c r="I46" i="2"/>
  <c r="H22" i="2"/>
  <c r="I36" i="2"/>
  <c r="H15" i="2"/>
  <c r="M15" i="2" s="1"/>
  <c r="K13" i="2"/>
  <c r="J46" i="2"/>
  <c r="I19" i="2"/>
  <c r="M19" i="2" s="1"/>
  <c r="I47" i="2"/>
  <c r="M47" i="2" s="1"/>
  <c r="G40" i="2"/>
  <c r="I22" i="2"/>
  <c r="K19" i="2"/>
  <c r="N19" i="2" s="1"/>
  <c r="F65" i="2"/>
  <c r="J13" i="2"/>
  <c r="J34" i="2"/>
  <c r="N34" i="2" s="1"/>
  <c r="F10" i="2"/>
  <c r="E9" i="5"/>
  <c r="M62" i="2" l="1"/>
  <c r="M20" i="2"/>
  <c r="F18" i="5" s="1"/>
  <c r="E18" i="5" s="1"/>
  <c r="L22" i="2"/>
  <c r="D20" i="10" s="1"/>
  <c r="N23" i="2"/>
  <c r="F21" i="10" s="1"/>
  <c r="N47" i="2"/>
  <c r="F44" i="10" s="1"/>
  <c r="N12" i="2"/>
  <c r="F10" i="10" s="1"/>
  <c r="M14" i="2"/>
  <c r="E12" i="10" s="1"/>
  <c r="N36" i="2"/>
  <c r="J34" i="5" s="1"/>
  <c r="I34" i="5" s="1"/>
  <c r="L47" i="2"/>
  <c r="D44" i="10" s="1"/>
  <c r="L14" i="2"/>
  <c r="D12" i="10" s="1"/>
  <c r="N35" i="2"/>
  <c r="F33" i="10" s="1"/>
  <c r="N25" i="2"/>
  <c r="F23" i="10" s="1"/>
  <c r="N14" i="2"/>
  <c r="J11" i="5" s="1"/>
  <c r="I11" i="5" s="1"/>
  <c r="N40" i="2"/>
  <c r="F38" i="10" s="1"/>
  <c r="N21" i="2"/>
  <c r="J19" i="5" s="1"/>
  <c r="I19" i="5" s="1"/>
  <c r="F77" i="2"/>
  <c r="F48" i="2" s="1"/>
  <c r="F51" i="2" s="1"/>
  <c r="L13" i="2"/>
  <c r="D11" i="10" s="1"/>
  <c r="N45" i="2"/>
  <c r="F42" i="10" s="1"/>
  <c r="L67" i="2"/>
  <c r="D59" i="10" s="1"/>
  <c r="M65" i="2"/>
  <c r="E57" i="10" s="1"/>
  <c r="M24" i="2"/>
  <c r="F22" i="5" s="1"/>
  <c r="E22" i="5" s="1"/>
  <c r="N16" i="2"/>
  <c r="J13" i="5" s="1"/>
  <c r="I13" i="5" s="1"/>
  <c r="L12" i="2"/>
  <c r="D10" i="10" s="1"/>
  <c r="N10" i="2"/>
  <c r="J7" i="5" s="1"/>
  <c r="I7" i="5" s="1"/>
  <c r="M61" i="2"/>
  <c r="F56" i="5" s="1"/>
  <c r="E56" i="5" s="1"/>
  <c r="L32" i="2"/>
  <c r="D30" i="10" s="1"/>
  <c r="N46" i="2"/>
  <c r="F43" i="10" s="1"/>
  <c r="L11" i="2"/>
  <c r="D9" i="10" s="1"/>
  <c r="L62" i="2"/>
  <c r="D54" i="10" s="1"/>
  <c r="M71" i="2"/>
  <c r="F65" i="5" s="1"/>
  <c r="E65" i="5" s="1"/>
  <c r="L65" i="2"/>
  <c r="D57" i="10" s="1"/>
  <c r="M75" i="2"/>
  <c r="F69" i="5" s="1"/>
  <c r="E69" i="5" s="1"/>
  <c r="M67" i="2"/>
  <c r="F62" i="5" s="1"/>
  <c r="E62" i="5" s="1"/>
  <c r="L37" i="2"/>
  <c r="D35" i="10" s="1"/>
  <c r="N13" i="2"/>
  <c r="J10" i="5" s="1"/>
  <c r="I10" i="5" s="1"/>
  <c r="E24" i="10"/>
  <c r="F24" i="5"/>
  <c r="E24" i="5" s="1"/>
  <c r="E42" i="10"/>
  <c r="F43" i="5"/>
  <c r="E43" i="5" s="1"/>
  <c r="F17" i="10"/>
  <c r="J17" i="5"/>
  <c r="I17" i="5" s="1"/>
  <c r="E23" i="10"/>
  <c r="F23" i="5"/>
  <c r="E23" i="5" s="1"/>
  <c r="F7" i="10"/>
  <c r="J6" i="5"/>
  <c r="E44" i="10"/>
  <c r="F45" i="5"/>
  <c r="E45" i="5" s="1"/>
  <c r="J25" i="5"/>
  <c r="I25" i="5" s="1"/>
  <c r="F25" i="10"/>
  <c r="E25" i="10"/>
  <c r="F25" i="5"/>
  <c r="E25" i="5" s="1"/>
  <c r="E30" i="10"/>
  <c r="F30" i="5"/>
  <c r="F35" i="10"/>
  <c r="J35" i="5"/>
  <c r="I35" i="5" s="1"/>
  <c r="M22" i="2"/>
  <c r="F67" i="5"/>
  <c r="E67" i="5" s="1"/>
  <c r="E65" i="10"/>
  <c r="L75" i="2"/>
  <c r="D67" i="10" s="1"/>
  <c r="F24" i="10"/>
  <c r="J24" i="5"/>
  <c r="I24" i="5" s="1"/>
  <c r="N24" i="2"/>
  <c r="F20" i="10"/>
  <c r="J20" i="5"/>
  <c r="I20" i="5" s="1"/>
  <c r="L35" i="2"/>
  <c r="D33" i="10" s="1"/>
  <c r="L25" i="2"/>
  <c r="D23" i="10" s="1"/>
  <c r="F17" i="5"/>
  <c r="E17" i="5" s="1"/>
  <c r="E17" i="10"/>
  <c r="J31" i="5"/>
  <c r="I31" i="5" s="1"/>
  <c r="F31" i="10"/>
  <c r="J30" i="5"/>
  <c r="F30" i="10"/>
  <c r="M72" i="2"/>
  <c r="L34" i="2"/>
  <c r="D32" i="10" s="1"/>
  <c r="M36" i="2"/>
  <c r="N11" i="2"/>
  <c r="E19" i="10"/>
  <c r="F19" i="5"/>
  <c r="E19" i="5" s="1"/>
  <c r="F35" i="5"/>
  <c r="E35" i="5" s="1"/>
  <c r="E35" i="10"/>
  <c r="L27" i="2"/>
  <c r="D25" i="10" s="1"/>
  <c r="L21" i="2"/>
  <c r="D19" i="10" s="1"/>
  <c r="L60" i="2"/>
  <c r="G77" i="2"/>
  <c r="G48" i="2" s="1"/>
  <c r="G51" i="2" s="1"/>
  <c r="H14" i="5"/>
  <c r="H26" i="5" s="1"/>
  <c r="H49" i="5" s="1"/>
  <c r="M10" i="2"/>
  <c r="F12" i="5"/>
  <c r="E12" i="5" s="1"/>
  <c r="E13" i="10"/>
  <c r="L40" i="2"/>
  <c r="D38" i="10" s="1"/>
  <c r="E68" i="10"/>
  <c r="F70" i="5"/>
  <c r="E70" i="5" s="1"/>
  <c r="L26" i="2"/>
  <c r="D24" i="10" s="1"/>
  <c r="J51" i="2"/>
  <c r="L10" i="2"/>
  <c r="D8" i="10" s="1"/>
  <c r="E54" i="10"/>
  <c r="F57" i="5"/>
  <c r="E57" i="5" s="1"/>
  <c r="L23" i="2"/>
  <c r="D21" i="10" s="1"/>
  <c r="L20" i="2"/>
  <c r="D18" i="10" s="1"/>
  <c r="N15" i="2"/>
  <c r="F31" i="5"/>
  <c r="E31" i="5" s="1"/>
  <c r="E31" i="10"/>
  <c r="F38" i="5"/>
  <c r="E38" i="5" s="1"/>
  <c r="E38" i="10"/>
  <c r="J18" i="5"/>
  <c r="I18" i="5" s="1"/>
  <c r="F18" i="10"/>
  <c r="F33" i="5"/>
  <c r="E33" i="5" s="1"/>
  <c r="E33" i="10"/>
  <c r="D7" i="10"/>
  <c r="F32" i="10"/>
  <c r="J32" i="5"/>
  <c r="I32" i="5" s="1"/>
  <c r="F21" i="5"/>
  <c r="E21" i="5" s="1"/>
  <c r="E21" i="10"/>
  <c r="M46" i="2"/>
  <c r="K51" i="2"/>
  <c r="I77" i="2"/>
  <c r="I48" i="2" s="1"/>
  <c r="I51" i="2" s="1"/>
  <c r="M60" i="2"/>
  <c r="M66" i="2"/>
  <c r="M9" i="2"/>
  <c r="H77" i="2"/>
  <c r="H48" i="2" s="1"/>
  <c r="H51" i="2" s="1"/>
  <c r="M13" i="2"/>
  <c r="M34" i="2"/>
  <c r="M11" i="2"/>
  <c r="E18" i="10" l="1"/>
  <c r="J45" i="5"/>
  <c r="I45" i="5" s="1"/>
  <c r="F11" i="5"/>
  <c r="E11" i="5" s="1"/>
  <c r="J9" i="5"/>
  <c r="I9" i="5" s="1"/>
  <c r="F34" i="10"/>
  <c r="F36" i="10" s="1"/>
  <c r="F39" i="10" s="1"/>
  <c r="J21" i="5"/>
  <c r="I21" i="5" s="1"/>
  <c r="J43" i="5"/>
  <c r="I43" i="5" s="1"/>
  <c r="N38" i="2"/>
  <c r="N41" i="2" s="1"/>
  <c r="F19" i="10"/>
  <c r="F12" i="10"/>
  <c r="J44" i="5"/>
  <c r="I44" i="5" s="1"/>
  <c r="J38" i="5"/>
  <c r="I38" i="5" s="1"/>
  <c r="D15" i="10"/>
  <c r="D26" i="10" s="1"/>
  <c r="E22" i="10"/>
  <c r="J23" i="5"/>
  <c r="I23" i="5" s="1"/>
  <c r="E67" i="10"/>
  <c r="J33" i="5"/>
  <c r="I33" i="5" s="1"/>
  <c r="F8" i="10"/>
  <c r="F11" i="10"/>
  <c r="N49" i="2"/>
  <c r="D59" i="7" s="1"/>
  <c r="F60" i="5"/>
  <c r="E60" i="5" s="1"/>
  <c r="E59" i="10"/>
  <c r="N17" i="2"/>
  <c r="N28" i="2" s="1"/>
  <c r="E63" i="10"/>
  <c r="E53" i="10"/>
  <c r="I52" i="2"/>
  <c r="M38" i="2"/>
  <c r="M41" i="2" s="1"/>
  <c r="L48" i="2"/>
  <c r="J22" i="5"/>
  <c r="I22" i="5" s="1"/>
  <c r="F22" i="10"/>
  <c r="E30" i="5"/>
  <c r="G52" i="2"/>
  <c r="I6" i="5"/>
  <c r="F9" i="10"/>
  <c r="J8" i="5"/>
  <c r="I8" i="5" s="1"/>
  <c r="L63" i="2"/>
  <c r="L68" i="2" s="1"/>
  <c r="L74" i="2" s="1"/>
  <c r="L77" i="2" s="1"/>
  <c r="O19" i="11" s="1"/>
  <c r="D52" i="10"/>
  <c r="D55" i="10" s="1"/>
  <c r="D60" i="10" s="1"/>
  <c r="D66" i="10" s="1"/>
  <c r="D69" i="10" s="1"/>
  <c r="E34" i="10"/>
  <c r="F34" i="5"/>
  <c r="E34" i="5" s="1"/>
  <c r="F8" i="5"/>
  <c r="E8" i="5" s="1"/>
  <c r="E9" i="10"/>
  <c r="L38" i="2"/>
  <c r="L41" i="2" s="1"/>
  <c r="F6" i="5"/>
  <c r="E7" i="10"/>
  <c r="M17" i="2"/>
  <c r="M28" i="2" s="1"/>
  <c r="L17" i="2"/>
  <c r="L28" i="2" s="1"/>
  <c r="F13" i="10"/>
  <c r="J12" i="5"/>
  <c r="I12" i="5" s="1"/>
  <c r="F66" i="5"/>
  <c r="E66" i="5" s="1"/>
  <c r="E64" i="10"/>
  <c r="F45" i="10"/>
  <c r="D36" i="10"/>
  <c r="D39" i="10" s="1"/>
  <c r="E58" i="10"/>
  <c r="F61" i="5"/>
  <c r="E61" i="5" s="1"/>
  <c r="E52" i="10"/>
  <c r="M63" i="2"/>
  <c r="M68" i="2" s="1"/>
  <c r="M74" i="2" s="1"/>
  <c r="M77" i="2" s="1"/>
  <c r="F55" i="5"/>
  <c r="E20" i="10"/>
  <c r="F20" i="5"/>
  <c r="E20" i="5" s="1"/>
  <c r="I30" i="5"/>
  <c r="F32" i="5"/>
  <c r="E32" i="5" s="1"/>
  <c r="E32" i="10"/>
  <c r="K52" i="2"/>
  <c r="E11" i="10"/>
  <c r="F10" i="5"/>
  <c r="E10" i="5" s="1"/>
  <c r="F7" i="5"/>
  <c r="E7" i="5" s="1"/>
  <c r="E8" i="10"/>
  <c r="M48" i="2"/>
  <c r="M49" i="2" s="1"/>
  <c r="AK13" i="11" l="1"/>
  <c r="AL13" i="11" s="1"/>
  <c r="C59" i="7"/>
  <c r="AH24" i="11"/>
  <c r="AK5" i="11"/>
  <c r="AL5" i="11" s="1"/>
  <c r="J36" i="5"/>
  <c r="J39" i="5" s="1"/>
  <c r="J46" i="5"/>
  <c r="N50" i="2"/>
  <c r="N51" i="2" s="1"/>
  <c r="F15" i="10"/>
  <c r="F26" i="10" s="1"/>
  <c r="E55" i="10"/>
  <c r="E60" i="10" s="1"/>
  <c r="E66" i="10" s="1"/>
  <c r="E69" i="10" s="1"/>
  <c r="I69" i="10" s="1"/>
  <c r="E36" i="10"/>
  <c r="E39" i="10" s="1"/>
  <c r="F44" i="5"/>
  <c r="E44" i="5" s="1"/>
  <c r="E43" i="10"/>
  <c r="E45" i="10" s="1"/>
  <c r="E15" i="10"/>
  <c r="E26" i="10" s="1"/>
  <c r="F46" i="10"/>
  <c r="L49" i="2"/>
  <c r="L50" i="2" s="1"/>
  <c r="L51" i="2" s="1"/>
  <c r="L78" i="2"/>
  <c r="D43" i="10"/>
  <c r="D45" i="10" s="1"/>
  <c r="D46" i="10" s="1"/>
  <c r="H46" i="10" s="1"/>
  <c r="J14" i="5"/>
  <c r="J26" i="5" s="1"/>
  <c r="E55" i="5"/>
  <c r="F58" i="5"/>
  <c r="F63" i="5" s="1"/>
  <c r="F68" i="5" s="1"/>
  <c r="F71" i="5" s="1"/>
  <c r="F73" i="5" s="1"/>
  <c r="AF19" i="11"/>
  <c r="O23" i="11"/>
  <c r="Q19" i="11"/>
  <c r="Q23" i="11" s="1"/>
  <c r="E6" i="5"/>
  <c r="F14" i="5"/>
  <c r="F26" i="5" s="1"/>
  <c r="AH25" i="11"/>
  <c r="M50" i="2"/>
  <c r="M51" i="2" s="1"/>
  <c r="H69" i="10"/>
  <c r="F36" i="5"/>
  <c r="F39" i="5" s="1"/>
  <c r="J47" i="5" l="1"/>
  <c r="J49" i="5" s="1"/>
  <c r="J46" i="10"/>
  <c r="F46" i="5"/>
  <c r="F47" i="5" s="1"/>
  <c r="F49" i="5" s="1"/>
  <c r="E46" i="10"/>
  <c r="I46" i="10" s="1"/>
  <c r="Q26" i="11"/>
  <c r="AF23" i="11"/>
  <c r="AH19" i="11"/>
  <c r="AH23" i="11" s="1"/>
  <c r="AH26" i="11" s="1"/>
</calcChain>
</file>

<file path=xl/sharedStrings.xml><?xml version="1.0" encoding="utf-8"?>
<sst xmlns="http://schemas.openxmlformats.org/spreadsheetml/2006/main" count="3081" uniqueCount="435">
  <si>
    <t>Reconocer</t>
  </si>
  <si>
    <t>Dar de Baja</t>
  </si>
  <si>
    <t>Medir</t>
  </si>
  <si>
    <t>Presentar</t>
  </si>
  <si>
    <t>NIC1</t>
  </si>
  <si>
    <t>NIC2</t>
  </si>
  <si>
    <t>NIC11</t>
  </si>
  <si>
    <t>NIC12</t>
  </si>
  <si>
    <t>NIC16</t>
  </si>
  <si>
    <t>NIC17</t>
  </si>
  <si>
    <t>NIC18</t>
  </si>
  <si>
    <t>NIC19</t>
  </si>
  <si>
    <t>NIC21</t>
  </si>
  <si>
    <t>NIC32</t>
  </si>
  <si>
    <t>NIC37</t>
  </si>
  <si>
    <t>NIC38</t>
  </si>
  <si>
    <t>NIC39</t>
  </si>
  <si>
    <t>NIC40</t>
  </si>
  <si>
    <t>NIC41</t>
  </si>
  <si>
    <t>NIIF6</t>
  </si>
  <si>
    <t>El pasivo por impuesto a la renta corriente se presenta formando parte de "otras cuentas por pagar".</t>
  </si>
  <si>
    <t>Se presentan cuentas por pagar diversas en el rubro "provisiones".</t>
  </si>
  <si>
    <t>Se presentan los efectos por diferencia en cambio como gastos o ingresos financieros</t>
  </si>
  <si>
    <t>El gasto por participación de trabajadores se muestra fuera de la utilidad operativa</t>
  </si>
  <si>
    <t>No se aplica el criterio de medición del valor neto de realización</t>
  </si>
  <si>
    <t>No se distribuye adecuadamente los CIF Fijos</t>
  </si>
  <si>
    <t>La compañía reconoce ingresos aplicando la NIC18, debiendo aplicar la NIC11</t>
  </si>
  <si>
    <t>No se calcula el impuesto a la renta diferido</t>
  </si>
  <si>
    <t>No se ha evaluado el deterioro de las exploraciones activadas</t>
  </si>
  <si>
    <t>Se mantienen los activos biològicos a su costo històrico menos depreciaciòn acumulada</t>
  </si>
  <si>
    <t>Existen terrenos que no se utilizan y no tienen plan de uso futuro</t>
  </si>
  <si>
    <t>No se mide el costo amortizado de los prestamos</t>
  </si>
  <si>
    <t>No se mide el deterioro de las cuentas por cobrar comerciales</t>
  </si>
  <si>
    <t>Se da de baja a las cuentas por cobrar comerciales de manera no apropiada</t>
  </si>
  <si>
    <t>Se mantienen "costos pre-operativos" como activos intangibles</t>
  </si>
  <si>
    <t>No se ha realizado la evaluaciòn de las provisiones por contingencias</t>
  </si>
  <si>
    <t>Existen "acciones redimibles" que se presentan formando parte del patrimonio</t>
  </si>
  <si>
    <t>Se ajusta los anticipos a proveedores por diferencia en cambio</t>
  </si>
  <si>
    <t>Se ajusta los anticipos de clientes por diferencia en cambio</t>
  </si>
  <si>
    <t>Se reconocen ingresos cuando aùn no se han entregado los bienes</t>
  </si>
  <si>
    <t>No se reconocen provisiones por retiro de activos</t>
  </si>
  <si>
    <t>Se utilizò una tasa de descuento errònea para las provisiones por retiro de activos</t>
  </si>
  <si>
    <t>Se utilizan vidas ùtiles tributarias</t>
  </si>
  <si>
    <t>No se identifican componentes</t>
  </si>
  <si>
    <t>Se mantiene una revaluaciòn de hace 10 años sin revisar</t>
  </si>
  <si>
    <t>Se ha capitalizado excedente de revaluaciòn</t>
  </si>
  <si>
    <t>No se ha identificado valores residuales</t>
  </si>
  <si>
    <t>Se reconocen gastos por arrendamiento operativo de manera linea, cuando otro mètodo es mejor</t>
  </si>
  <si>
    <t>Se depreciaciòn activos fijos en arrendamiento financiero de acuerdo con el plazo del contrato</t>
  </si>
  <si>
    <t>Nº</t>
  </si>
  <si>
    <t>NIIF</t>
  </si>
  <si>
    <t>Descripción</t>
  </si>
  <si>
    <t>NIIF 1</t>
  </si>
  <si>
    <t>X</t>
  </si>
  <si>
    <t>S/.</t>
  </si>
  <si>
    <t>Activo</t>
  </si>
  <si>
    <t>GAAP</t>
  </si>
  <si>
    <t>DEBE</t>
  </si>
  <si>
    <t>HABER</t>
  </si>
  <si>
    <t>Activo corriente</t>
  </si>
  <si>
    <t>BG1</t>
  </si>
  <si>
    <t>Efectivo y equivalente de efectivo</t>
  </si>
  <si>
    <t>BG2</t>
  </si>
  <si>
    <t>Cuentas por cobrar comerciales, neto</t>
  </si>
  <si>
    <t>BG3</t>
  </si>
  <si>
    <t>Prèstamos a relacionadas</t>
  </si>
  <si>
    <t>BG4</t>
  </si>
  <si>
    <t>Anticipos a proveedores</t>
  </si>
  <si>
    <t>BG5</t>
  </si>
  <si>
    <t>Cuentas por cobrar diversas</t>
  </si>
  <si>
    <t>BG6</t>
  </si>
  <si>
    <t>Existencias</t>
  </si>
  <si>
    <t>BG7</t>
  </si>
  <si>
    <t>Gastos pagados por anticipado</t>
  </si>
  <si>
    <t>BG8</t>
  </si>
  <si>
    <t>Otros activos</t>
  </si>
  <si>
    <t>Total activo corriente</t>
  </si>
  <si>
    <t>Activo no corriente</t>
  </si>
  <si>
    <t>BG9</t>
  </si>
  <si>
    <t>BG10</t>
  </si>
  <si>
    <t>BG11</t>
  </si>
  <si>
    <t>Total activo</t>
  </si>
  <si>
    <t>Pasivo y patrimonio</t>
  </si>
  <si>
    <t>Pasivo corriente</t>
  </si>
  <si>
    <t>BG12</t>
  </si>
  <si>
    <t>Cuentas por pagar comerciales</t>
  </si>
  <si>
    <t>BG13</t>
  </si>
  <si>
    <t>Cuentas por pagar a relacionadas</t>
  </si>
  <si>
    <t>BG14</t>
  </si>
  <si>
    <t>Cuentas por pagar diversas</t>
  </si>
  <si>
    <t>BG18</t>
  </si>
  <si>
    <t>Impuesto a la renta por pagar</t>
  </si>
  <si>
    <t>BG15</t>
  </si>
  <si>
    <t>Provisiones</t>
  </si>
  <si>
    <t>Total pasivo</t>
  </si>
  <si>
    <t>Patrimonio neto</t>
  </si>
  <si>
    <t>BG16</t>
  </si>
  <si>
    <t>Capital social</t>
  </si>
  <si>
    <t>BG17</t>
  </si>
  <si>
    <t>Resultados Acumulados</t>
  </si>
  <si>
    <t>Resultado del periodo</t>
  </si>
  <si>
    <t>Total patrimonio neto</t>
  </si>
  <si>
    <t>Total pasivo y patrimonio</t>
  </si>
  <si>
    <t>PL1</t>
  </si>
  <si>
    <t>PL2</t>
  </si>
  <si>
    <t>Utilidad bruta</t>
  </si>
  <si>
    <t>PL3</t>
  </si>
  <si>
    <t>Gastos de administración</t>
  </si>
  <si>
    <t>PL4</t>
  </si>
  <si>
    <t>Gastos de ventas</t>
  </si>
  <si>
    <t>PL5</t>
  </si>
  <si>
    <t>Otros, neto</t>
  </si>
  <si>
    <t>Utilidad operativa</t>
  </si>
  <si>
    <t>PL6</t>
  </si>
  <si>
    <t>Ingresos financieros</t>
  </si>
  <si>
    <t>PL7</t>
  </si>
  <si>
    <t>PL8</t>
  </si>
  <si>
    <t>Utilidad antes de impuesto a la renta</t>
  </si>
  <si>
    <t>PL9</t>
  </si>
  <si>
    <t>Impuesto a la renta</t>
  </si>
  <si>
    <t>Utilidad neta</t>
  </si>
  <si>
    <t>No se reconoce el pasivo por las vacaciones devengadas</t>
  </si>
  <si>
    <t>Debe</t>
  </si>
  <si>
    <t>Saldo inicial</t>
  </si>
  <si>
    <t>Adiciones</t>
  </si>
  <si>
    <t>Deducciones</t>
  </si>
  <si>
    <t>Saldo final</t>
  </si>
  <si>
    <t>S/</t>
  </si>
  <si>
    <t>Costo asignado</t>
  </si>
  <si>
    <t>Efecto en resultados</t>
  </si>
  <si>
    <t>CIF FIJO</t>
  </si>
  <si>
    <t>Ajuste</t>
  </si>
  <si>
    <t xml:space="preserve">Ingresos por servicios </t>
  </si>
  <si>
    <t>Costo</t>
  </si>
  <si>
    <t>Depreciación acumulada</t>
  </si>
  <si>
    <t>Tax</t>
  </si>
  <si>
    <t>Ajustes</t>
  </si>
  <si>
    <t>Propiedad, planta y equipo</t>
  </si>
  <si>
    <t>Sin componentes</t>
  </si>
  <si>
    <t>Con componentes</t>
  </si>
  <si>
    <t>Costo-1</t>
  </si>
  <si>
    <t>Costo-2</t>
  </si>
  <si>
    <t>Depreciación acumulada-1</t>
  </si>
  <si>
    <t>Depreciación acumulada-2</t>
  </si>
  <si>
    <t>Excedente de revaluaciòn</t>
  </si>
  <si>
    <t>BG19</t>
  </si>
  <si>
    <t>Importe capitalizado:</t>
  </si>
  <si>
    <t>(-) Importe recuperable</t>
  </si>
  <si>
    <t>Monto depreciable</t>
  </si>
  <si>
    <t>NIIF 3</t>
  </si>
  <si>
    <t>Se contabilizó la compra de activos como una combinación de negocios</t>
  </si>
  <si>
    <t>Anticipo por arrendamiento</t>
  </si>
  <si>
    <t>(-) Consumo</t>
  </si>
  <si>
    <t>Inicio</t>
  </si>
  <si>
    <t>Fin</t>
  </si>
  <si>
    <t>Neto</t>
  </si>
  <si>
    <t>Reconocidos</t>
  </si>
  <si>
    <t>PL10</t>
  </si>
  <si>
    <t>Participación de trabajadores</t>
  </si>
  <si>
    <t>Anticipo</t>
  </si>
  <si>
    <t>USD</t>
  </si>
  <si>
    <t>T/C Histórico</t>
  </si>
  <si>
    <t>T/C Cierre</t>
  </si>
  <si>
    <t>Diferencia en cambio</t>
  </si>
  <si>
    <t>Gastos financieros</t>
  </si>
  <si>
    <t>PL11</t>
  </si>
  <si>
    <t>Ganancia (pérdida) por diferencia en cambio</t>
  </si>
  <si>
    <t>Costos operativos</t>
  </si>
  <si>
    <t>Anticipo recibidos de clientes</t>
  </si>
  <si>
    <t>BG20</t>
  </si>
  <si>
    <t>Anticipos recibidos de clientes</t>
  </si>
  <si>
    <t>Prèstamos por pagar</t>
  </si>
  <si>
    <t>Total pasivo corriente</t>
  </si>
  <si>
    <t>Goodwill</t>
  </si>
  <si>
    <t>Costos de exploraciòn</t>
  </si>
  <si>
    <t>BG21</t>
  </si>
  <si>
    <t>Concesión minera y reservas</t>
  </si>
  <si>
    <t>BG22</t>
  </si>
  <si>
    <t>Gasto financiero</t>
  </si>
  <si>
    <t>Provisiòn errada</t>
  </si>
  <si>
    <t>Provisiòn correcta</t>
  </si>
  <si>
    <t>BG23</t>
  </si>
  <si>
    <t>BG24</t>
  </si>
  <si>
    <t>Intangibles</t>
  </si>
  <si>
    <t>Préstamo</t>
  </si>
  <si>
    <t>Comisión</t>
  </si>
  <si>
    <t>Tasa</t>
  </si>
  <si>
    <t>Princ</t>
  </si>
  <si>
    <t>Interes</t>
  </si>
  <si>
    <t>Total</t>
  </si>
  <si>
    <t>S.I.</t>
  </si>
  <si>
    <t>Pago</t>
  </si>
  <si>
    <t>S.F.</t>
  </si>
  <si>
    <t>Saldo PCGA</t>
  </si>
  <si>
    <t>Saldo NIIF</t>
  </si>
  <si>
    <t>Deterioro</t>
  </si>
  <si>
    <t>BG25</t>
  </si>
  <si>
    <t>Inversiones inmobiliarias</t>
  </si>
  <si>
    <t>BG26</t>
  </si>
  <si>
    <t>Activos biológicos</t>
  </si>
  <si>
    <t>Ingreso por valor razonable de A.B.</t>
  </si>
  <si>
    <t>Exploraciòn</t>
  </si>
  <si>
    <t>Haber</t>
  </si>
  <si>
    <t>Producción normal</t>
  </si>
  <si>
    <t>Ratio de distribución</t>
  </si>
  <si>
    <t>Producción real</t>
  </si>
  <si>
    <t>Provisiòn</t>
  </si>
  <si>
    <t>Activo fijo</t>
  </si>
  <si>
    <t>Tasa efectiva</t>
  </si>
  <si>
    <t>Préstamos por pagar</t>
  </si>
  <si>
    <t>PL12</t>
  </si>
  <si>
    <t>Concesión minera</t>
  </si>
  <si>
    <t>Amortización acumulada</t>
  </si>
  <si>
    <t>Ajustes por:</t>
  </si>
  <si>
    <t>Medición del valor razonable de las existencias</t>
  </si>
  <si>
    <t>Distribución de los CIF Fijos de fabricación</t>
  </si>
  <si>
    <t>Adopción de NIC 11 en reconocimiento de ingresos</t>
  </si>
  <si>
    <t>Medición de la depreciación de los activos fijos</t>
  </si>
  <si>
    <t>Medición de la depreciación por componentes</t>
  </si>
  <si>
    <t>Actualización de rexcedente de revaluación</t>
  </si>
  <si>
    <t>Medición de la depreciación con valores residuales</t>
  </si>
  <si>
    <t>Medición de la depreciación de activos en Leasing</t>
  </si>
  <si>
    <t>Gastos por arrendamientos operativos</t>
  </si>
  <si>
    <t xml:space="preserve">Reconocimiento de ingresos </t>
  </si>
  <si>
    <t>Vacaciones devengadas</t>
  </si>
  <si>
    <t>Diferencia en cambio de anticipos a proveedores</t>
  </si>
  <si>
    <t>Diferencia en cambio de anticipos de clientes</t>
  </si>
  <si>
    <t>Acciones redimibles consideradas como Capital</t>
  </si>
  <si>
    <t>Amortización de concesiones mineras</t>
  </si>
  <si>
    <t>Provisiones por contingencias</t>
  </si>
  <si>
    <t>Provisión por retiro de activos de larga duración</t>
  </si>
  <si>
    <t>Corrección en uso de tasa para provisiones por retiro</t>
  </si>
  <si>
    <t>Baja de costos pre-operativos calificados como intangibles</t>
  </si>
  <si>
    <t>Medición de préstamos al costo amortizado</t>
  </si>
  <si>
    <t>Deterioro de cuentas por cobrar comerciales</t>
  </si>
  <si>
    <t>Medición de activos biológicos al costo amortizado</t>
  </si>
  <si>
    <t>Baja de activos por exploración de recursos naturales</t>
  </si>
  <si>
    <t>1 Ene</t>
  </si>
  <si>
    <t>31 Dic</t>
  </si>
  <si>
    <t>Saldo según NIIF</t>
  </si>
  <si>
    <t>1 de Enero</t>
  </si>
  <si>
    <t>31 de Dic.</t>
  </si>
  <si>
    <t>Capital</t>
  </si>
  <si>
    <t>Social</t>
  </si>
  <si>
    <t>Resultados</t>
  </si>
  <si>
    <t>Acumulados</t>
  </si>
  <si>
    <t>Excedente</t>
  </si>
  <si>
    <t>Revaluación</t>
  </si>
  <si>
    <t>Saldo al 1 de enero de 2014</t>
  </si>
  <si>
    <t>Utilidad del periodo</t>
  </si>
  <si>
    <t>Saldo al 31 de diciembre de 2014</t>
  </si>
  <si>
    <t>Aporte de capital</t>
  </si>
  <si>
    <t>Distribución de dividendos</t>
  </si>
  <si>
    <t>SIN NIIF</t>
  </si>
  <si>
    <t>Ajuste de adecuación a NIIF</t>
  </si>
  <si>
    <t>Utilidad del periodo (NIIF)</t>
  </si>
  <si>
    <t>CON NIIF</t>
  </si>
  <si>
    <t>Ajuste de adecuación a NIIF:</t>
  </si>
  <si>
    <t>Ajuste al saldo inicial del patrimonio</t>
  </si>
  <si>
    <t>Al Excedente de revaluación</t>
  </si>
  <si>
    <t>Al Capital social</t>
  </si>
  <si>
    <t>A Resultados acumulados</t>
  </si>
  <si>
    <t xml:space="preserve">   A resultados acumulados</t>
  </si>
  <si>
    <t xml:space="preserve">   A excedente de revaluación que se capitalizò</t>
  </si>
  <si>
    <t>BG27</t>
  </si>
  <si>
    <t>Activo diferido por impuesto a la renta</t>
  </si>
  <si>
    <t>Activo neto por impuesto a la renta diferido</t>
  </si>
  <si>
    <t>ESTADO DE SITUACION FINANCIERA</t>
  </si>
  <si>
    <t>ESTADO DE RESULTADOS DEL EJERCICIO</t>
  </si>
  <si>
    <t>Should be Zero</t>
  </si>
  <si>
    <t>TOTAL DE AJUSTE NIIF AL PATRIMONIO</t>
  </si>
  <si>
    <t>Zero---&gt;</t>
  </si>
  <si>
    <t>TRAMPO S.A.</t>
  </si>
  <si>
    <t>LISTADO DE DESVIOS</t>
  </si>
  <si>
    <t>Reconciliación del</t>
  </si>
  <si>
    <t>Estado de Situaciòn Financiera</t>
  </si>
  <si>
    <t>Estado de resultados</t>
  </si>
  <si>
    <t>freddy</t>
  </si>
  <si>
    <t>milko</t>
  </si>
  <si>
    <t>pablo</t>
  </si>
  <si>
    <t>Medición del valor neto de realizacion de las existencias</t>
  </si>
  <si>
    <t>ACTIVO FIJO</t>
  </si>
  <si>
    <t>COSTO</t>
  </si>
  <si>
    <t>DEP ACUM</t>
  </si>
  <si>
    <t>ANTIGÜEDAD</t>
  </si>
  <si>
    <t>TASA</t>
  </si>
  <si>
    <t>VALOR EN LIBROS</t>
  </si>
  <si>
    <t>TRIBUTARIO</t>
  </si>
  <si>
    <t>AJUSTES</t>
  </si>
  <si>
    <t>39 DEP ACUM</t>
  </si>
  <si>
    <t>68 GASTO POR DEP</t>
  </si>
  <si>
    <t>59 RESULT ACUM</t>
  </si>
  <si>
    <t>SALDO INICIAL</t>
  </si>
  <si>
    <t>C.S.</t>
  </si>
  <si>
    <t>R.ACUM</t>
  </si>
  <si>
    <t>TOTAL</t>
  </si>
  <si>
    <t>SALDO FINAL</t>
  </si>
  <si>
    <t>UTILIDAD</t>
  </si>
  <si>
    <t>ADOPCION DE NIIF</t>
  </si>
  <si>
    <t>CIF FIJOS:</t>
  </si>
  <si>
    <t>ALQUILERES</t>
  </si>
  <si>
    <t>9X COSTO DE PRODUCCION</t>
  </si>
  <si>
    <t>46 CXP DIVERSA</t>
  </si>
  <si>
    <t>PRODUCCION NORMAL</t>
  </si>
  <si>
    <t>PRODUCCION REAL</t>
  </si>
  <si>
    <t>RATIO</t>
  </si>
  <si>
    <t>COSTO CIF FIJO ASIGNADO</t>
  </si>
  <si>
    <t>69 COSTO DE VENTA</t>
  </si>
  <si>
    <t>Costo Amortizado</t>
  </si>
  <si>
    <t>Devengos</t>
  </si>
  <si>
    <t>Cronograma del Banco</t>
  </si>
  <si>
    <t>Datos</t>
  </si>
  <si>
    <t>DEP.ACUM</t>
  </si>
  <si>
    <t>BASE TRIBUTARIA</t>
  </si>
  <si>
    <t>BASE CONTABLE</t>
  </si>
  <si>
    <t>DIFERENCIA TEMPORARIA</t>
  </si>
  <si>
    <t>IMPUESTO DIFERIDO (P)</t>
  </si>
  <si>
    <t>PASIVO POR IRD</t>
  </si>
  <si>
    <t>RESULT ACUM</t>
  </si>
  <si>
    <t>882 IMP RENTA</t>
  </si>
  <si>
    <t>31.12.2015</t>
  </si>
  <si>
    <t>31.12.2014</t>
  </si>
  <si>
    <t>01.01.2014</t>
  </si>
  <si>
    <t>PERU GAAP</t>
  </si>
  <si>
    <t>AÑOS</t>
  </si>
  <si>
    <t>68 DEPREC DEL EJERCICIO</t>
  </si>
  <si>
    <t>59 RESULTA ACUM</t>
  </si>
  <si>
    <t>CAPITAL</t>
  </si>
  <si>
    <t>RES ACUM</t>
  </si>
  <si>
    <t>SI</t>
  </si>
  <si>
    <t>UTILIDAD 2014</t>
  </si>
  <si>
    <t>UTILIDAD 2015</t>
  </si>
  <si>
    <t>SF</t>
  </si>
  <si>
    <t>AJUSTE NIIF</t>
  </si>
  <si>
    <t>x</t>
  </si>
  <si>
    <t>Anticipos a proveedores (alquiler pagado por anticipado)</t>
  </si>
  <si>
    <t>PRESTAMO</t>
  </si>
  <si>
    <t>COMISION</t>
  </si>
  <si>
    <t>NETO</t>
  </si>
  <si>
    <t>PRINCIPAL</t>
  </si>
  <si>
    <t>INTERESES</t>
  </si>
  <si>
    <t>CUOTA</t>
  </si>
  <si>
    <t>1 PASO:</t>
  </si>
  <si>
    <t>LA TASA EFECTIVA</t>
  </si>
  <si>
    <t>2º</t>
  </si>
  <si>
    <t>DEL CUADRO DE COSTO AMORTIZADO</t>
  </si>
  <si>
    <t>GF</t>
  </si>
  <si>
    <t>PAGO</t>
  </si>
  <si>
    <t>saldo</t>
  </si>
  <si>
    <t>IMPUESTO A LA RENTA DIFERIDO</t>
  </si>
  <si>
    <t>37 ACTIVO POR IRD</t>
  </si>
  <si>
    <t>882 IMP A LA RENTA</t>
  </si>
  <si>
    <t>PEDRO</t>
  </si>
  <si>
    <t>JUAN</t>
  </si>
  <si>
    <t>MARCOS</t>
  </si>
  <si>
    <t>La NIIF 1establece 4 pasos para la adecuación de los estados financieros a las Normas Internacionales de Información Financiera.</t>
  </si>
  <si>
    <t>El primer procedimiento en el proceso de adeuación es la realización de un DIAGNOSTICO, posteriormente se debe proceder a:</t>
  </si>
  <si>
    <t>1) Reconocer todos los elementos de estados financieros (activos, pasivos, ingresos, gastos, patrimonio) que requieren las NIIF.</t>
  </si>
  <si>
    <t>2) Dar de Baja a aquellos elementos de estados financieros que no son permitidos por las NIIF.</t>
  </si>
  <si>
    <t>3) Realizar una medición adecuada de los elementos de estados financieros.</t>
  </si>
  <si>
    <t>4) Presentar correctamente los elementos en los estados financieros</t>
  </si>
  <si>
    <t>Aquí una lista de deviaciones típicas encontradas en empresas que hemos asesorado:</t>
  </si>
  <si>
    <t>No se distribuye adecuadamente los CIF Fijos en el costeo de las existencias</t>
  </si>
  <si>
    <t>Se utilizan vidas ùtiles tributarias para depreciar los activos fijos</t>
  </si>
  <si>
    <t>No se identifican componentes para la depreciación de partes importantes</t>
  </si>
  <si>
    <t>Tributario</t>
  </si>
  <si>
    <t>Consumo en meses</t>
  </si>
  <si>
    <t xml:space="preserve">Ingresos Mal </t>
  </si>
  <si>
    <t>RECONCILIACION DEL PATRIMONIO (POR PARTES)</t>
  </si>
  <si>
    <t>RECONCILIACION DEL PATRIMONIO (ACUMULADA)</t>
  </si>
  <si>
    <t>Ingreso por valor razonable de activos biológicos</t>
  </si>
  <si>
    <t>Medición de activos biológicos a valor razonable</t>
  </si>
  <si>
    <t>REQUISITOS DE NIIF 1</t>
  </si>
  <si>
    <t>NIIF15</t>
  </si>
  <si>
    <t>La compañía reconoce ingresos cuando entrega el ASCENSOR y no ha medida que lo construye</t>
  </si>
  <si>
    <t>NIIF16</t>
  </si>
  <si>
    <t>NIIF9</t>
  </si>
  <si>
    <t>SERAN REGISTRADOS</t>
  </si>
  <si>
    <t>Amortización</t>
  </si>
  <si>
    <t>ASIENTOS DE PRESENTACION</t>
  </si>
  <si>
    <t>ASIENTOS DE MEDICION</t>
  </si>
  <si>
    <t>NIIF 9</t>
  </si>
  <si>
    <t xml:space="preserve">Movimiento del deterioro </t>
  </si>
  <si>
    <t>acumulado de existencias</t>
  </si>
  <si>
    <t>NIIF 15</t>
  </si>
  <si>
    <t xml:space="preserve">Se depreciaciòn activos fijos en arrendamiento financiero </t>
  </si>
  <si>
    <t>de acuerdo con el plazo del contrato</t>
  </si>
  <si>
    <t xml:space="preserve">Se reconocen gastos por arrendamiento operativo de manera linea, </t>
  </si>
  <si>
    <t>cuando otro mètodo es mejor</t>
  </si>
  <si>
    <t>NIIF 16</t>
  </si>
  <si>
    <t xml:space="preserve">Se utilizò una tasa de descuento errònea para las provisiones por </t>
  </si>
  <si>
    <t>retiro de activos</t>
  </si>
  <si>
    <t xml:space="preserve">Se da de baja a las cuentas por cobrar comerciales de manera </t>
  </si>
  <si>
    <t>no apropiada</t>
  </si>
  <si>
    <t xml:space="preserve">Se contabilizó la compra de activos como una combinación de </t>
  </si>
  <si>
    <t>negocios</t>
  </si>
  <si>
    <t xml:space="preserve">Existen "acciones redimibles" que se presentan formando parte del </t>
  </si>
  <si>
    <t>patrimonio</t>
  </si>
  <si>
    <t xml:space="preserve">                       Al 31.12.2025</t>
  </si>
  <si>
    <t>Año 2025</t>
  </si>
  <si>
    <t>2025</t>
  </si>
  <si>
    <t xml:space="preserve">                    Al 31.12.2024</t>
  </si>
  <si>
    <t>Año 2024</t>
  </si>
  <si>
    <t>2024</t>
  </si>
  <si>
    <t>Año 2023</t>
  </si>
  <si>
    <t>Saldo según  GAAP</t>
  </si>
  <si>
    <t>Zero</t>
  </si>
  <si>
    <t>Al 31 de diciembre de 2024</t>
  </si>
  <si>
    <t>Al 1 de Enero de 2024</t>
  </si>
  <si>
    <t>A Resultados del periodo</t>
  </si>
  <si>
    <t>Cuenta 59</t>
  </si>
  <si>
    <t>Cuenta 50</t>
  </si>
  <si>
    <t>Cuenta 57</t>
  </si>
  <si>
    <t>NIIF 1-</t>
  </si>
  <si>
    <t>TU PRIMERA VEZ</t>
  </si>
  <si>
    <t>HAGALO USTED MISMO</t>
  </si>
  <si>
    <t>Valor razonable del terreno al 01 de enero de 2024</t>
  </si>
  <si>
    <t>C</t>
  </si>
  <si>
    <t xml:space="preserve"> </t>
  </si>
  <si>
    <t xml:space="preserve">                     Al 31.12.202023</t>
  </si>
  <si>
    <t xml:space="preserve">El pasivo por impuesto a la renta corriente se presenta </t>
  </si>
  <si>
    <t>formando  parte de "otras cuentas por pagar".</t>
  </si>
  <si>
    <t xml:space="preserve">Se presentan cuentas por pagar diversas en el rubro </t>
  </si>
  <si>
    <t>"provisiones".</t>
  </si>
  <si>
    <t xml:space="preserve">El gasto por participación de trabajadores se muestra fuera </t>
  </si>
  <si>
    <t>de la utilidad operativa</t>
  </si>
  <si>
    <t xml:space="preserve">Se presentan los efectos por diferencia en cambio como </t>
  </si>
  <si>
    <t>gastos  o ingresos financieros</t>
  </si>
  <si>
    <t>No aplica el criterio de medición del VNR</t>
  </si>
  <si>
    <t>Saldo al 01.01.2024</t>
  </si>
  <si>
    <t>Saldo al 31.12.2024</t>
  </si>
  <si>
    <t>Saldo al 31.12.2025</t>
  </si>
  <si>
    <t>Utilidad 2024</t>
  </si>
  <si>
    <t xml:space="preserve">  Ajuste a resultados del 2024</t>
  </si>
  <si>
    <t>Costos de 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</si>
</sst>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#,###\ ;[Black]\(#,###\);\-\ ;"/>
    <numFmt numFmtId="167" formatCode="0.000"/>
    <numFmt numFmtId="168" formatCode="_ * #,##0.000_ ;_ * \-#,##0.000_ ;_ * &quot;-&quot;??_ ;_ @_ "/>
    <numFmt numFmtId="169" formatCode="0.0000%"/>
  </numFmts>
  <fonts count="6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0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26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name val="Arial"/>
      <family val="2"/>
    </font>
    <font>
      <b/>
      <sz val="22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Calibri"/>
      <family val="2"/>
      <scheme val="minor"/>
    </font>
    <font>
      <sz val="18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i/>
      <sz val="16"/>
      <color theme="1"/>
      <name val="Arial"/>
      <family val="2"/>
    </font>
    <font>
      <b/>
      <sz val="15"/>
      <color rgb="FF000000"/>
      <name val="Arial"/>
      <family val="2"/>
    </font>
    <font>
      <b/>
      <sz val="15"/>
      <color theme="1"/>
      <name val="Arial"/>
      <family val="2"/>
    </font>
    <font>
      <sz val="15"/>
      <color rgb="FFFF0000"/>
      <name val="Arial"/>
      <family val="2"/>
    </font>
    <font>
      <b/>
      <sz val="15"/>
      <color rgb="FFFF0000"/>
      <name val="Arial"/>
      <family val="2"/>
    </font>
    <font>
      <sz val="16"/>
      <color theme="0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sz val="13"/>
      <color rgb="FF000000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2"/>
      <color rgb="FFFF0000"/>
      <name val="Arial"/>
      <family val="2"/>
    </font>
    <font>
      <b/>
      <i/>
      <sz val="16"/>
      <color theme="0"/>
      <name val="Arial"/>
      <family val="2"/>
    </font>
    <font>
      <i/>
      <sz val="16"/>
      <color theme="0"/>
      <name val="Arial"/>
      <family val="2"/>
    </font>
    <font>
      <b/>
      <sz val="14"/>
      <color theme="1"/>
      <name val="Arial"/>
      <family val="2"/>
    </font>
    <font>
      <i/>
      <sz val="16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0">
    <xf numFmtId="0" fontId="0" fillId="0" borderId="0" xfId="0"/>
    <xf numFmtId="0" fontId="1" fillId="0" borderId="0" xfId="0" applyFont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1" fillId="7" borderId="0" xfId="0" applyFont="1" applyFill="1"/>
    <xf numFmtId="0" fontId="0" fillId="7" borderId="0" xfId="0" applyFill="1" applyAlignment="1">
      <alignment horizontal="center"/>
    </xf>
    <xf numFmtId="0" fontId="5" fillId="7" borderId="0" xfId="0" applyFont="1" applyFill="1" applyAlignment="1">
      <alignment vertical="center"/>
    </xf>
    <xf numFmtId="0" fontId="6" fillId="7" borderId="0" xfId="0" applyFont="1" applyFill="1" applyAlignment="1">
      <alignment vertical="center"/>
    </xf>
    <xf numFmtId="0" fontId="7" fillId="7" borderId="0" xfId="0" applyFont="1" applyFill="1"/>
    <xf numFmtId="0" fontId="6" fillId="7" borderId="0" xfId="0" applyFont="1" applyFill="1"/>
    <xf numFmtId="0" fontId="6" fillId="0" borderId="0" xfId="0" applyFont="1"/>
    <xf numFmtId="165" fontId="7" fillId="7" borderId="0" xfId="1" applyNumberFormat="1" applyFont="1" applyFill="1"/>
    <xf numFmtId="165" fontId="6" fillId="7" borderId="0" xfId="1" applyNumberFormat="1" applyFont="1" applyFill="1"/>
    <xf numFmtId="0" fontId="4" fillId="7" borderId="0" xfId="0" applyFont="1" applyFill="1" applyAlignment="1">
      <alignment vertical="center"/>
    </xf>
    <xf numFmtId="165" fontId="6" fillId="0" borderId="0" xfId="1" applyNumberFormat="1" applyFont="1"/>
    <xf numFmtId="165" fontId="6" fillId="0" borderId="0" xfId="0" applyNumberFormat="1" applyFont="1"/>
    <xf numFmtId="0" fontId="4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5" fontId="5" fillId="7" borderId="0" xfId="1" applyNumberFormat="1" applyFont="1" applyFill="1" applyAlignment="1">
      <alignment horizontal="right" vertical="center"/>
    </xf>
    <xf numFmtId="165" fontId="5" fillId="7" borderId="0" xfId="1" applyNumberFormat="1" applyFont="1" applyFill="1" applyBorder="1" applyAlignment="1">
      <alignment horizontal="right" vertical="center"/>
    </xf>
    <xf numFmtId="165" fontId="6" fillId="7" borderId="0" xfId="1" applyNumberFormat="1" applyFont="1" applyFill="1" applyBorder="1"/>
    <xf numFmtId="165" fontId="5" fillId="7" borderId="2" xfId="1" applyNumberFormat="1" applyFont="1" applyFill="1" applyBorder="1" applyAlignment="1">
      <alignment horizontal="right" vertical="center"/>
    </xf>
    <xf numFmtId="165" fontId="4" fillId="7" borderId="0" xfId="1" applyNumberFormat="1" applyFont="1" applyFill="1" applyAlignment="1">
      <alignment horizontal="right" vertical="center"/>
    </xf>
    <xf numFmtId="165" fontId="4" fillId="7" borderId="1" xfId="1" applyNumberFormat="1" applyFont="1" applyFill="1" applyBorder="1" applyAlignment="1">
      <alignment horizontal="right" vertical="center"/>
    </xf>
    <xf numFmtId="165" fontId="4" fillId="7" borderId="3" xfId="1" applyNumberFormat="1" applyFont="1" applyFill="1" applyBorder="1" applyAlignment="1">
      <alignment horizontal="right" vertical="center"/>
    </xf>
    <xf numFmtId="165" fontId="4" fillId="7" borderId="14" xfId="1" applyNumberFormat="1" applyFont="1" applyFill="1" applyBorder="1" applyAlignment="1">
      <alignment horizontal="right" vertical="center"/>
    </xf>
    <xf numFmtId="166" fontId="9" fillId="7" borderId="14" xfId="0" applyNumberFormat="1" applyFont="1" applyFill="1" applyBorder="1" applyAlignment="1">
      <alignment horizontal="right"/>
    </xf>
    <xf numFmtId="0" fontId="12" fillId="7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0" fontId="15" fillId="0" borderId="0" xfId="0" applyFont="1"/>
    <xf numFmtId="0" fontId="21" fillId="10" borderId="0" xfId="0" applyFont="1" applyFill="1" applyAlignment="1">
      <alignment horizontal="center"/>
    </xf>
    <xf numFmtId="0" fontId="21" fillId="10" borderId="0" xfId="0" applyFont="1" applyFill="1"/>
    <xf numFmtId="0" fontId="22" fillId="0" borderId="0" xfId="0" applyFont="1"/>
    <xf numFmtId="166" fontId="22" fillId="0" borderId="0" xfId="0" applyNumberFormat="1" applyFont="1" applyAlignment="1">
      <alignment horizontal="right"/>
    </xf>
    <xf numFmtId="0" fontId="23" fillId="7" borderId="0" xfId="0" applyFont="1" applyFill="1" applyAlignment="1">
      <alignment vertical="center"/>
    </xf>
    <xf numFmtId="166" fontId="7" fillId="7" borderId="0" xfId="0" applyNumberFormat="1" applyFont="1" applyFill="1" applyAlignment="1">
      <alignment horizontal="right"/>
    </xf>
    <xf numFmtId="165" fontId="12" fillId="7" borderId="0" xfId="1" applyNumberFormat="1" applyFont="1" applyFill="1" applyAlignment="1">
      <alignment horizontal="right" vertical="center"/>
    </xf>
    <xf numFmtId="165" fontId="12" fillId="7" borderId="0" xfId="1" applyNumberFormat="1" applyFont="1" applyFill="1" applyBorder="1" applyAlignment="1">
      <alignment horizontal="right" vertical="center"/>
    </xf>
    <xf numFmtId="165" fontId="12" fillId="7" borderId="2" xfId="1" applyNumberFormat="1" applyFont="1" applyFill="1" applyBorder="1" applyAlignment="1">
      <alignment horizontal="right" vertical="center"/>
    </xf>
    <xf numFmtId="165" fontId="23" fillId="7" borderId="0" xfId="1" applyNumberFormat="1" applyFont="1" applyFill="1" applyAlignment="1">
      <alignment horizontal="right" vertical="center"/>
    </xf>
    <xf numFmtId="165" fontId="23" fillId="7" borderId="1" xfId="1" applyNumberFormat="1" applyFont="1" applyFill="1" applyBorder="1" applyAlignment="1">
      <alignment horizontal="right" vertical="center"/>
    </xf>
    <xf numFmtId="165" fontId="23" fillId="7" borderId="3" xfId="1" applyNumberFormat="1" applyFont="1" applyFill="1" applyBorder="1" applyAlignment="1">
      <alignment horizontal="right" vertical="center"/>
    </xf>
    <xf numFmtId="0" fontId="25" fillId="0" borderId="0" xfId="0" applyFont="1"/>
    <xf numFmtId="0" fontId="17" fillId="9" borderId="0" xfId="0" applyFont="1" applyFill="1"/>
    <xf numFmtId="0" fontId="13" fillId="9" borderId="0" xfId="0" applyFont="1" applyFill="1" applyAlignment="1">
      <alignment horizontal="center" vertical="center"/>
    </xf>
    <xf numFmtId="0" fontId="0" fillId="17" borderId="0" xfId="0" applyFill="1" applyAlignment="1">
      <alignment horizontal="center"/>
    </xf>
    <xf numFmtId="0" fontId="12" fillId="7" borderId="0" xfId="0" applyFont="1" applyFill="1" applyAlignment="1">
      <alignment horizontal="right" vertical="center"/>
    </xf>
    <xf numFmtId="166" fontId="7" fillId="7" borderId="2" xfId="0" applyNumberFormat="1" applyFont="1" applyFill="1" applyBorder="1" applyAlignment="1">
      <alignment horizontal="right"/>
    </xf>
    <xf numFmtId="166" fontId="26" fillId="7" borderId="0" xfId="0" applyNumberFormat="1" applyFont="1" applyFill="1" applyAlignment="1">
      <alignment horizontal="right"/>
    </xf>
    <xf numFmtId="166" fontId="26" fillId="7" borderId="14" xfId="0" applyNumberFormat="1" applyFont="1" applyFill="1" applyBorder="1" applyAlignment="1">
      <alignment horizontal="right"/>
    </xf>
    <xf numFmtId="16" fontId="13" fillId="9" borderId="0" xfId="0" quotePrefix="1" applyNumberFormat="1" applyFont="1" applyFill="1" applyAlignment="1">
      <alignment horizontal="center" vertical="center"/>
    </xf>
    <xf numFmtId="0" fontId="13" fillId="9" borderId="0" xfId="0" applyFont="1" applyFill="1"/>
    <xf numFmtId="3" fontId="0" fillId="0" borderId="0" xfId="0" applyNumberFormat="1"/>
    <xf numFmtId="14" fontId="0" fillId="0" borderId="0" xfId="0" applyNumberFormat="1"/>
    <xf numFmtId="9" fontId="0" fillId="0" borderId="0" xfId="0" applyNumberFormat="1"/>
    <xf numFmtId="3" fontId="1" fillId="0" borderId="0" xfId="0" applyNumberFormat="1" applyFont="1"/>
    <xf numFmtId="0" fontId="1" fillId="0" borderId="0" xfId="0" applyFont="1" applyAlignment="1">
      <alignment horizontal="center"/>
    </xf>
    <xf numFmtId="14" fontId="0" fillId="15" borderId="0" xfId="0" applyNumberFormat="1" applyFill="1"/>
    <xf numFmtId="0" fontId="1" fillId="15" borderId="0" xfId="0" applyFont="1" applyFill="1" applyAlignment="1">
      <alignment horizontal="center"/>
    </xf>
    <xf numFmtId="0" fontId="0" fillId="15" borderId="0" xfId="0" applyFill="1"/>
    <xf numFmtId="3" fontId="0" fillId="15" borderId="0" xfId="0" applyNumberFormat="1" applyFill="1"/>
    <xf numFmtId="14" fontId="0" fillId="20" borderId="0" xfId="0" applyNumberFormat="1" applyFill="1"/>
    <xf numFmtId="14" fontId="0" fillId="21" borderId="0" xfId="0" applyNumberFormat="1" applyFill="1"/>
    <xf numFmtId="0" fontId="1" fillId="22" borderId="0" xfId="0" applyFont="1" applyFill="1"/>
    <xf numFmtId="0" fontId="0" fillId="22" borderId="0" xfId="0" applyFill="1"/>
    <xf numFmtId="3" fontId="0" fillId="22" borderId="0" xfId="0" applyNumberFormat="1" applyFill="1"/>
    <xf numFmtId="3" fontId="0" fillId="16" borderId="0" xfId="0" applyNumberFormat="1" applyFill="1"/>
    <xf numFmtId="3" fontId="1" fillId="22" borderId="0" xfId="0" applyNumberFormat="1" applyFont="1" applyFill="1"/>
    <xf numFmtId="0" fontId="1" fillId="16" borderId="0" xfId="0" applyFont="1" applyFill="1"/>
    <xf numFmtId="0" fontId="0" fillId="16" borderId="0" xfId="0" applyFill="1"/>
    <xf numFmtId="3" fontId="1" fillId="16" borderId="0" xfId="0" applyNumberFormat="1" applyFont="1" applyFill="1"/>
    <xf numFmtId="0" fontId="1" fillId="24" borderId="0" xfId="0" applyFont="1" applyFill="1"/>
    <xf numFmtId="0" fontId="0" fillId="24" borderId="0" xfId="0" applyFill="1"/>
    <xf numFmtId="3" fontId="0" fillId="24" borderId="0" xfId="0" applyNumberFormat="1" applyFill="1"/>
    <xf numFmtId="3" fontId="1" fillId="24" borderId="0" xfId="0" applyNumberFormat="1" applyFont="1" applyFill="1"/>
    <xf numFmtId="9" fontId="1" fillId="0" borderId="0" xfId="0" applyNumberFormat="1" applyFont="1"/>
    <xf numFmtId="169" fontId="1" fillId="0" borderId="0" xfId="0" applyNumberFormat="1" applyFont="1"/>
    <xf numFmtId="3" fontId="1" fillId="15" borderId="0" xfId="0" applyNumberFormat="1" applyFont="1" applyFill="1"/>
    <xf numFmtId="165" fontId="19" fillId="7" borderId="0" xfId="1" applyNumberFormat="1" applyFont="1" applyFill="1" applyBorder="1"/>
    <xf numFmtId="0" fontId="22" fillId="7" borderId="0" xfId="0" applyFont="1" applyFill="1"/>
    <xf numFmtId="0" fontId="24" fillId="7" borderId="0" xfId="0" applyFont="1" applyFill="1" applyAlignment="1">
      <alignment vertical="center"/>
    </xf>
    <xf numFmtId="0" fontId="14" fillId="7" borderId="0" xfId="0" applyFont="1" applyFill="1"/>
    <xf numFmtId="166" fontId="14" fillId="7" borderId="0" xfId="0" applyNumberFormat="1" applyFont="1" applyFill="1" applyAlignment="1">
      <alignment horizontal="right"/>
    </xf>
    <xf numFmtId="0" fontId="15" fillId="7" borderId="0" xfId="0" applyFont="1" applyFill="1"/>
    <xf numFmtId="165" fontId="15" fillId="7" borderId="0" xfId="1" applyNumberFormat="1" applyFont="1" applyFill="1"/>
    <xf numFmtId="166" fontId="15" fillId="7" borderId="0" xfId="0" applyNumberFormat="1" applyFont="1" applyFill="1" applyAlignment="1">
      <alignment horizontal="right"/>
    </xf>
    <xf numFmtId="165" fontId="15" fillId="7" borderId="0" xfId="0" applyNumberFormat="1" applyFont="1" applyFill="1"/>
    <xf numFmtId="0" fontId="24" fillId="7" borderId="0" xfId="0" applyFont="1" applyFill="1" applyAlignment="1">
      <alignment horizontal="center" vertical="center"/>
    </xf>
    <xf numFmtId="165" fontId="15" fillId="7" borderId="2" xfId="1" applyNumberFormat="1" applyFont="1" applyFill="1" applyBorder="1"/>
    <xf numFmtId="165" fontId="24" fillId="7" borderId="1" xfId="1" applyNumberFormat="1" applyFont="1" applyFill="1" applyBorder="1" applyAlignment="1">
      <alignment horizontal="right" vertical="center"/>
    </xf>
    <xf numFmtId="164" fontId="21" fillId="25" borderId="0" xfId="1" quotePrefix="1" applyFont="1" applyFill="1" applyAlignment="1">
      <alignment horizontal="center"/>
    </xf>
    <xf numFmtId="0" fontId="8" fillId="6" borderId="0" xfId="0" applyFont="1" applyFill="1"/>
    <xf numFmtId="0" fontId="10" fillId="6" borderId="0" xfId="0" applyFont="1" applyFill="1"/>
    <xf numFmtId="166" fontId="22" fillId="7" borderId="0" xfId="0" applyNumberFormat="1" applyFont="1" applyFill="1" applyAlignment="1">
      <alignment horizontal="right"/>
    </xf>
    <xf numFmtId="0" fontId="15" fillId="7" borderId="7" xfId="0" applyFont="1" applyFill="1" applyBorder="1"/>
    <xf numFmtId="0" fontId="15" fillId="7" borderId="10" xfId="0" applyFont="1" applyFill="1" applyBorder="1"/>
    <xf numFmtId="0" fontId="16" fillId="7" borderId="0" xfId="0" applyFont="1" applyFill="1" applyAlignment="1">
      <alignment horizontal="center" vertical="center"/>
    </xf>
    <xf numFmtId="0" fontId="24" fillId="7" borderId="10" xfId="0" applyFont="1" applyFill="1" applyBorder="1" applyAlignment="1">
      <alignment vertical="center"/>
    </xf>
    <xf numFmtId="0" fontId="16" fillId="7" borderId="10" xfId="0" applyFont="1" applyFill="1" applyBorder="1" applyAlignment="1">
      <alignment vertical="center"/>
    </xf>
    <xf numFmtId="0" fontId="15" fillId="7" borderId="10" xfId="0" applyFont="1" applyFill="1" applyBorder="1" applyAlignment="1">
      <alignment vertical="center"/>
    </xf>
    <xf numFmtId="165" fontId="15" fillId="7" borderId="0" xfId="1" applyNumberFormat="1" applyFont="1" applyFill="1" applyBorder="1"/>
    <xf numFmtId="0" fontId="24" fillId="7" borderId="12" xfId="0" applyFont="1" applyFill="1" applyBorder="1" applyAlignment="1">
      <alignment vertical="center"/>
    </xf>
    <xf numFmtId="0" fontId="15" fillId="7" borderId="8" xfId="0" applyFont="1" applyFill="1" applyBorder="1"/>
    <xf numFmtId="166" fontId="15" fillId="7" borderId="11" xfId="0" applyNumberFormat="1" applyFont="1" applyFill="1" applyBorder="1" applyAlignment="1">
      <alignment horizontal="right"/>
    </xf>
    <xf numFmtId="166" fontId="14" fillId="7" borderId="11" xfId="0" applyNumberFormat="1" applyFont="1" applyFill="1" applyBorder="1" applyAlignment="1">
      <alignment horizontal="right"/>
    </xf>
    <xf numFmtId="0" fontId="15" fillId="7" borderId="2" xfId="0" applyFont="1" applyFill="1" applyBorder="1"/>
    <xf numFmtId="165" fontId="14" fillId="7" borderId="2" xfId="1" applyNumberFormat="1" applyFont="1" applyFill="1" applyBorder="1"/>
    <xf numFmtId="0" fontId="16" fillId="7" borderId="0" xfId="0" applyFont="1" applyFill="1" applyAlignment="1">
      <alignment vertical="center"/>
    </xf>
    <xf numFmtId="165" fontId="14" fillId="7" borderId="0" xfId="1" applyNumberFormat="1" applyFont="1" applyFill="1" applyBorder="1"/>
    <xf numFmtId="165" fontId="15" fillId="7" borderId="8" xfId="1" applyNumberFormat="1" applyFont="1" applyFill="1" applyBorder="1"/>
    <xf numFmtId="166" fontId="14" fillId="7" borderId="10" xfId="0" applyNumberFormat="1" applyFont="1" applyFill="1" applyBorder="1" applyAlignment="1">
      <alignment horizontal="right"/>
    </xf>
    <xf numFmtId="166" fontId="15" fillId="7" borderId="10" xfId="0" applyNumberFormat="1" applyFont="1" applyFill="1" applyBorder="1" applyAlignment="1">
      <alignment horizontal="right"/>
    </xf>
    <xf numFmtId="0" fontId="27" fillId="0" borderId="0" xfId="0" applyFont="1"/>
    <xf numFmtId="0" fontId="30" fillId="7" borderId="0" xfId="0" applyFont="1" applyFill="1"/>
    <xf numFmtId="0" fontId="31" fillId="7" borderId="0" xfId="0" applyFont="1" applyFill="1"/>
    <xf numFmtId="0" fontId="31" fillId="0" borderId="0" xfId="0" applyFont="1"/>
    <xf numFmtId="0" fontId="32" fillId="7" borderId="0" xfId="0" applyFont="1" applyFill="1"/>
    <xf numFmtId="0" fontId="33" fillId="7" borderId="0" xfId="0" applyFont="1" applyFill="1"/>
    <xf numFmtId="0" fontId="34" fillId="7" borderId="0" xfId="0" applyFont="1" applyFill="1"/>
    <xf numFmtId="0" fontId="34" fillId="0" borderId="0" xfId="0" applyFont="1"/>
    <xf numFmtId="0" fontId="33" fillId="7" borderId="0" xfId="0" applyFont="1" applyFill="1" applyAlignment="1">
      <alignment horizontal="center"/>
    </xf>
    <xf numFmtId="0" fontId="33" fillId="0" borderId="0" xfId="0" applyFont="1"/>
    <xf numFmtId="0" fontId="34" fillId="7" borderId="0" xfId="0" applyFont="1" applyFill="1" applyAlignment="1">
      <alignment horizontal="center"/>
    </xf>
    <xf numFmtId="0" fontId="34" fillId="4" borderId="0" xfId="0" applyFont="1" applyFill="1" applyAlignment="1">
      <alignment horizontal="center"/>
    </xf>
    <xf numFmtId="0" fontId="34" fillId="2" borderId="0" xfId="0" applyFont="1" applyFill="1" applyAlignment="1">
      <alignment horizontal="center"/>
    </xf>
    <xf numFmtId="0" fontId="34" fillId="5" borderId="0" xfId="0" applyFont="1" applyFill="1" applyAlignment="1">
      <alignment horizontal="center"/>
    </xf>
    <xf numFmtId="0" fontId="34" fillId="17" borderId="0" xfId="0" applyFont="1" applyFill="1" applyAlignment="1">
      <alignment horizontal="center"/>
    </xf>
    <xf numFmtId="0" fontId="24" fillId="7" borderId="0" xfId="0" applyFont="1" applyFill="1" applyAlignment="1">
      <alignment horizontal="left" vertical="center"/>
    </xf>
    <xf numFmtId="164" fontId="21" fillId="6" borderId="0" xfId="1" quotePrefix="1" applyFont="1" applyFill="1" applyAlignment="1">
      <alignment horizontal="center"/>
    </xf>
    <xf numFmtId="165" fontId="15" fillId="15" borderId="2" xfId="1" applyNumberFormat="1" applyFont="1" applyFill="1" applyBorder="1"/>
    <xf numFmtId="0" fontId="24" fillId="15" borderId="8" xfId="0" applyFont="1" applyFill="1" applyBorder="1" applyAlignment="1">
      <alignment horizontal="center" vertical="center"/>
    </xf>
    <xf numFmtId="165" fontId="15" fillId="15" borderId="0" xfId="1" applyNumberFormat="1" applyFont="1" applyFill="1" applyBorder="1"/>
    <xf numFmtId="0" fontId="19" fillId="7" borderId="0" xfId="0" applyFont="1" applyFill="1"/>
    <xf numFmtId="0" fontId="19" fillId="0" borderId="0" xfId="0" applyFont="1"/>
    <xf numFmtId="165" fontId="15" fillId="27" borderId="8" xfId="1" applyNumberFormat="1" applyFont="1" applyFill="1" applyBorder="1"/>
    <xf numFmtId="165" fontId="15" fillId="27" borderId="0" xfId="1" applyNumberFormat="1" applyFont="1" applyFill="1" applyBorder="1"/>
    <xf numFmtId="165" fontId="15" fillId="27" borderId="2" xfId="1" applyNumberFormat="1" applyFont="1" applyFill="1" applyBorder="1"/>
    <xf numFmtId="165" fontId="14" fillId="27" borderId="2" xfId="1" applyNumberFormat="1" applyFont="1" applyFill="1" applyBorder="1"/>
    <xf numFmtId="0" fontId="24" fillId="2" borderId="8" xfId="0" applyFont="1" applyFill="1" applyBorder="1" applyAlignment="1">
      <alignment horizontal="center" vertical="center"/>
    </xf>
    <xf numFmtId="165" fontId="15" fillId="2" borderId="0" xfId="1" applyNumberFormat="1" applyFont="1" applyFill="1" applyBorder="1"/>
    <xf numFmtId="165" fontId="15" fillId="2" borderId="2" xfId="1" applyNumberFormat="1" applyFont="1" applyFill="1" applyBorder="1"/>
    <xf numFmtId="165" fontId="14" fillId="2" borderId="2" xfId="1" applyNumberFormat="1" applyFont="1" applyFill="1" applyBorder="1"/>
    <xf numFmtId="0" fontId="24" fillId="24" borderId="8" xfId="0" applyFont="1" applyFill="1" applyBorder="1" applyAlignment="1">
      <alignment horizontal="center" vertical="center"/>
    </xf>
    <xf numFmtId="165" fontId="15" fillId="24" borderId="0" xfId="1" applyNumberFormat="1" applyFont="1" applyFill="1" applyBorder="1"/>
    <xf numFmtId="165" fontId="15" fillId="24" borderId="2" xfId="1" applyNumberFormat="1" applyFont="1" applyFill="1" applyBorder="1"/>
    <xf numFmtId="165" fontId="14" fillId="24" borderId="2" xfId="1" applyNumberFormat="1" applyFont="1" applyFill="1" applyBorder="1"/>
    <xf numFmtId="0" fontId="24" fillId="11" borderId="8" xfId="0" applyFont="1" applyFill="1" applyBorder="1" applyAlignment="1">
      <alignment horizontal="center" vertical="center"/>
    </xf>
    <xf numFmtId="165" fontId="15" fillId="11" borderId="0" xfId="1" applyNumberFormat="1" applyFont="1" applyFill="1" applyBorder="1"/>
    <xf numFmtId="165" fontId="15" fillId="11" borderId="2" xfId="1" applyNumberFormat="1" applyFont="1" applyFill="1" applyBorder="1"/>
    <xf numFmtId="0" fontId="24" fillId="28" borderId="8" xfId="0" applyFont="1" applyFill="1" applyBorder="1" applyAlignment="1">
      <alignment horizontal="center" vertical="center"/>
    </xf>
    <xf numFmtId="165" fontId="15" fillId="28" borderId="0" xfId="1" applyNumberFormat="1" applyFont="1" applyFill="1" applyBorder="1"/>
    <xf numFmtId="165" fontId="15" fillId="28" borderId="2" xfId="1" applyNumberFormat="1" applyFont="1" applyFill="1" applyBorder="1"/>
    <xf numFmtId="0" fontId="35" fillId="7" borderId="0" xfId="0" applyFont="1" applyFill="1"/>
    <xf numFmtId="0" fontId="36" fillId="7" borderId="0" xfId="0" applyFont="1" applyFill="1"/>
    <xf numFmtId="165" fontId="36" fillId="7" borderId="0" xfId="1" applyNumberFormat="1" applyFont="1" applyFill="1"/>
    <xf numFmtId="168" fontId="35" fillId="7" borderId="0" xfId="1" applyNumberFormat="1" applyFont="1" applyFill="1" applyBorder="1" applyAlignment="1">
      <alignment horizontal="right" vertical="center"/>
    </xf>
    <xf numFmtId="165" fontId="23" fillId="7" borderId="0" xfId="1" applyNumberFormat="1" applyFont="1" applyFill="1" applyBorder="1" applyAlignment="1">
      <alignment horizontal="right" vertical="center"/>
    </xf>
    <xf numFmtId="165" fontId="16" fillId="24" borderId="0" xfId="1" applyNumberFormat="1" applyFont="1" applyFill="1" applyBorder="1" applyAlignment="1">
      <alignment horizontal="right" vertical="center"/>
    </xf>
    <xf numFmtId="165" fontId="24" fillId="24" borderId="3" xfId="1" applyNumberFormat="1" applyFont="1" applyFill="1" applyBorder="1" applyAlignment="1">
      <alignment horizontal="right" vertical="center"/>
    </xf>
    <xf numFmtId="165" fontId="16" fillId="24" borderId="2" xfId="1" applyNumberFormat="1" applyFont="1" applyFill="1" applyBorder="1" applyAlignment="1">
      <alignment horizontal="right" vertical="center"/>
    </xf>
    <xf numFmtId="165" fontId="16" fillId="24" borderId="0" xfId="1" applyNumberFormat="1" applyFont="1" applyFill="1" applyBorder="1" applyAlignment="1">
      <alignment horizontal="center" vertical="center"/>
    </xf>
    <xf numFmtId="165" fontId="16" fillId="11" borderId="0" xfId="1" applyNumberFormat="1" applyFont="1" applyFill="1" applyBorder="1" applyAlignment="1">
      <alignment horizontal="right" vertical="center"/>
    </xf>
    <xf numFmtId="165" fontId="24" fillId="11" borderId="3" xfId="1" applyNumberFormat="1" applyFont="1" applyFill="1" applyBorder="1" applyAlignment="1">
      <alignment horizontal="right" vertical="center"/>
    </xf>
    <xf numFmtId="165" fontId="16" fillId="11" borderId="2" xfId="1" applyNumberFormat="1" applyFont="1" applyFill="1" applyBorder="1" applyAlignment="1">
      <alignment horizontal="right" vertical="center"/>
    </xf>
    <xf numFmtId="0" fontId="16" fillId="28" borderId="11" xfId="0" applyFont="1" applyFill="1" applyBorder="1" applyAlignment="1">
      <alignment vertical="center"/>
    </xf>
    <xf numFmtId="165" fontId="16" fillId="28" borderId="11" xfId="1" applyNumberFormat="1" applyFont="1" applyFill="1" applyBorder="1" applyAlignment="1">
      <alignment horizontal="right" vertical="center"/>
    </xf>
    <xf numFmtId="165" fontId="15" fillId="28" borderId="13" xfId="1" applyNumberFormat="1" applyFont="1" applyFill="1" applyBorder="1"/>
    <xf numFmtId="165" fontId="24" fillId="28" borderId="5" xfId="1" applyNumberFormat="1" applyFont="1" applyFill="1" applyBorder="1" applyAlignment="1">
      <alignment horizontal="right" vertical="center"/>
    </xf>
    <xf numFmtId="165" fontId="15" fillId="28" borderId="11" xfId="1" applyNumberFormat="1" applyFont="1" applyFill="1" applyBorder="1"/>
    <xf numFmtId="165" fontId="16" fillId="28" borderId="13" xfId="1" applyNumberFormat="1" applyFont="1" applyFill="1" applyBorder="1" applyAlignment="1">
      <alignment horizontal="right" vertical="center"/>
    </xf>
    <xf numFmtId="0" fontId="24" fillId="28" borderId="9" xfId="0" applyFont="1" applyFill="1" applyBorder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6" fillId="28" borderId="11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28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right" vertical="center"/>
    </xf>
    <xf numFmtId="0" fontId="16" fillId="11" borderId="0" xfId="0" applyFont="1" applyFill="1" applyAlignment="1">
      <alignment horizontal="right" vertical="center"/>
    </xf>
    <xf numFmtId="0" fontId="15" fillId="11" borderId="0" xfId="0" applyFont="1" applyFill="1"/>
    <xf numFmtId="0" fontId="15" fillId="28" borderId="0" xfId="0" applyFont="1" applyFill="1"/>
    <xf numFmtId="0" fontId="24" fillId="2" borderId="9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165" fontId="15" fillId="2" borderId="11" xfId="1" applyNumberFormat="1" applyFont="1" applyFill="1" applyBorder="1"/>
    <xf numFmtId="165" fontId="15" fillId="2" borderId="13" xfId="1" applyNumberFormat="1" applyFont="1" applyFill="1" applyBorder="1"/>
    <xf numFmtId="165" fontId="14" fillId="2" borderId="13" xfId="1" applyNumberFormat="1" applyFont="1" applyFill="1" applyBorder="1"/>
    <xf numFmtId="166" fontId="6" fillId="0" borderId="0" xfId="0" applyNumberFormat="1" applyFont="1"/>
    <xf numFmtId="0" fontId="11" fillId="0" borderId="0" xfId="0" applyFont="1"/>
    <xf numFmtId="0" fontId="4" fillId="27" borderId="0" xfId="0" applyFont="1" applyFill="1" applyAlignment="1">
      <alignment vertical="center"/>
    </xf>
    <xf numFmtId="165" fontId="6" fillId="27" borderId="0" xfId="1" applyNumberFormat="1" applyFont="1" applyFill="1"/>
    <xf numFmtId="166" fontId="9" fillId="27" borderId="0" xfId="0" applyNumberFormat="1" applyFont="1" applyFill="1" applyAlignment="1">
      <alignment horizontal="right"/>
    </xf>
    <xf numFmtId="0" fontId="24" fillId="7" borderId="4" xfId="0" applyFont="1" applyFill="1" applyBorder="1" applyAlignment="1">
      <alignment vertical="center"/>
    </xf>
    <xf numFmtId="165" fontId="15" fillId="24" borderId="3" xfId="1" applyNumberFormat="1" applyFont="1" applyFill="1" applyBorder="1"/>
    <xf numFmtId="165" fontId="15" fillId="2" borderId="3" xfId="1" applyNumberFormat="1" applyFont="1" applyFill="1" applyBorder="1"/>
    <xf numFmtId="165" fontId="15" fillId="27" borderId="3" xfId="1" applyNumberFormat="1" applyFont="1" applyFill="1" applyBorder="1"/>
    <xf numFmtId="165" fontId="15" fillId="2" borderId="5" xfId="1" applyNumberFormat="1" applyFont="1" applyFill="1" applyBorder="1"/>
    <xf numFmtId="0" fontId="39" fillId="6" borderId="0" xfId="0" applyFont="1" applyFill="1" applyAlignment="1">
      <alignment horizontal="center"/>
    </xf>
    <xf numFmtId="0" fontId="13" fillId="29" borderId="0" xfId="0" applyFont="1" applyFill="1" applyAlignment="1">
      <alignment horizontal="center" vertical="center"/>
    </xf>
    <xf numFmtId="0" fontId="13" fillId="29" borderId="11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44" fillId="10" borderId="0" xfId="0" applyFont="1" applyFill="1" applyAlignment="1">
      <alignment horizontal="center"/>
    </xf>
    <xf numFmtId="0" fontId="44" fillId="10" borderId="0" xfId="0" applyFont="1" applyFill="1"/>
    <xf numFmtId="164" fontId="44" fillId="25" borderId="0" xfId="1" quotePrefix="1" applyFont="1" applyFill="1" applyAlignment="1">
      <alignment horizontal="center"/>
    </xf>
    <xf numFmtId="164" fontId="44" fillId="6" borderId="0" xfId="1" applyFont="1" applyFill="1" applyAlignment="1">
      <alignment horizontal="center"/>
    </xf>
    <xf numFmtId="0" fontId="45" fillId="0" borderId="0" xfId="0" applyFont="1"/>
    <xf numFmtId="0" fontId="46" fillId="0" borderId="0" xfId="0" applyFont="1"/>
    <xf numFmtId="0" fontId="47" fillId="7" borderId="0" xfId="0" applyFont="1" applyFill="1"/>
    <xf numFmtId="0" fontId="14" fillId="7" borderId="0" xfId="0" applyFont="1" applyFill="1" applyAlignment="1">
      <alignment horizontal="center"/>
    </xf>
    <xf numFmtId="0" fontId="48" fillId="0" borderId="0" xfId="0" applyFont="1"/>
    <xf numFmtId="0" fontId="15" fillId="7" borderId="0" xfId="0" applyFont="1" applyFill="1" applyAlignment="1">
      <alignment horizontal="center"/>
    </xf>
    <xf numFmtId="166" fontId="15" fillId="7" borderId="0" xfId="0" applyNumberFormat="1" applyFont="1" applyFill="1" applyAlignment="1">
      <alignment horizontal="center"/>
    </xf>
    <xf numFmtId="0" fontId="14" fillId="7" borderId="2" xfId="0" applyFont="1" applyFill="1" applyBorder="1"/>
    <xf numFmtId="166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Alignment="1">
      <alignment horizontal="right"/>
    </xf>
    <xf numFmtId="0" fontId="17" fillId="10" borderId="0" xfId="0" applyFont="1" applyFill="1"/>
    <xf numFmtId="0" fontId="13" fillId="10" borderId="0" xfId="0" applyFont="1" applyFill="1" applyAlignment="1">
      <alignment horizontal="center"/>
    </xf>
    <xf numFmtId="3" fontId="14" fillId="7" borderId="0" xfId="0" applyNumberFormat="1" applyFont="1" applyFill="1" applyAlignment="1">
      <alignment horizontal="right"/>
    </xf>
    <xf numFmtId="3" fontId="15" fillId="7" borderId="2" xfId="0" applyNumberFormat="1" applyFont="1" applyFill="1" applyBorder="1" applyAlignment="1">
      <alignment horizontal="right"/>
    </xf>
    <xf numFmtId="0" fontId="14" fillId="7" borderId="3" xfId="0" applyFont="1" applyFill="1" applyBorder="1"/>
    <xf numFmtId="3" fontId="14" fillId="7" borderId="3" xfId="0" applyNumberFormat="1" applyFont="1" applyFill="1" applyBorder="1" applyAlignment="1">
      <alignment horizontal="right"/>
    </xf>
    <xf numFmtId="3" fontId="15" fillId="7" borderId="0" xfId="0" applyNumberFormat="1" applyFont="1" applyFill="1"/>
    <xf numFmtId="0" fontId="15" fillId="7" borderId="0" xfId="0" applyFont="1" applyFill="1" applyAlignment="1">
      <alignment vertical="center"/>
    </xf>
    <xf numFmtId="9" fontId="15" fillId="7" borderId="0" xfId="0" applyNumberFormat="1" applyFont="1" applyFill="1"/>
    <xf numFmtId="3" fontId="14" fillId="7" borderId="0" xfId="0" applyNumberFormat="1" applyFont="1" applyFill="1"/>
    <xf numFmtId="0" fontId="13" fillId="10" borderId="0" xfId="0" applyFont="1" applyFill="1"/>
    <xf numFmtId="14" fontId="13" fillId="10" borderId="0" xfId="0" applyNumberFormat="1" applyFont="1" applyFill="1"/>
    <xf numFmtId="0" fontId="13" fillId="6" borderId="0" xfId="0" applyFont="1" applyFill="1"/>
    <xf numFmtId="14" fontId="13" fillId="6" borderId="0" xfId="0" applyNumberFormat="1" applyFont="1" applyFill="1" applyAlignment="1">
      <alignment horizontal="right"/>
    </xf>
    <xf numFmtId="0" fontId="14" fillId="11" borderId="0" xfId="0" applyFont="1" applyFill="1"/>
    <xf numFmtId="0" fontId="14" fillId="11" borderId="0" xfId="0" applyFont="1" applyFill="1" applyAlignment="1">
      <alignment horizontal="center"/>
    </xf>
    <xf numFmtId="0" fontId="14" fillId="7" borderId="2" xfId="0" applyFont="1" applyFill="1" applyBorder="1" applyAlignment="1">
      <alignment horizontal="center"/>
    </xf>
    <xf numFmtId="3" fontId="14" fillId="7" borderId="2" xfId="0" applyNumberFormat="1" applyFont="1" applyFill="1" applyBorder="1"/>
    <xf numFmtId="167" fontId="14" fillId="7" borderId="0" xfId="0" applyNumberFormat="1" applyFont="1" applyFill="1"/>
    <xf numFmtId="165" fontId="14" fillId="7" borderId="0" xfId="1" applyNumberFormat="1" applyFont="1" applyFill="1"/>
    <xf numFmtId="0" fontId="16" fillId="0" borderId="0" xfId="0" applyFont="1" applyAlignment="1">
      <alignment vertical="center"/>
    </xf>
    <xf numFmtId="0" fontId="17" fillId="12" borderId="0" xfId="0" applyFont="1" applyFill="1"/>
    <xf numFmtId="0" fontId="13" fillId="12" borderId="0" xfId="0" applyFont="1" applyFill="1" applyAlignment="1">
      <alignment horizontal="center"/>
    </xf>
    <xf numFmtId="0" fontId="17" fillId="12" borderId="2" xfId="0" applyFont="1" applyFill="1" applyBorder="1"/>
    <xf numFmtId="0" fontId="13" fillId="12" borderId="2" xfId="0" applyFont="1" applyFill="1" applyBorder="1" applyAlignment="1">
      <alignment horizontal="center"/>
    </xf>
    <xf numFmtId="167" fontId="14" fillId="7" borderId="2" xfId="0" applyNumberFormat="1" applyFont="1" applyFill="1" applyBorder="1"/>
    <xf numFmtId="0" fontId="14" fillId="7" borderId="0" xfId="0" quotePrefix="1" applyFont="1" applyFill="1" applyAlignment="1">
      <alignment horizontal="center"/>
    </xf>
    <xf numFmtId="166" fontId="15" fillId="0" borderId="2" xfId="0" applyNumberFormat="1" applyFont="1" applyBorder="1" applyAlignment="1">
      <alignment horizontal="right"/>
    </xf>
    <xf numFmtId="0" fontId="15" fillId="7" borderId="3" xfId="0" applyFont="1" applyFill="1" applyBorder="1"/>
    <xf numFmtId="3" fontId="15" fillId="7" borderId="3" xfId="0" applyNumberFormat="1" applyFont="1" applyFill="1" applyBorder="1"/>
    <xf numFmtId="0" fontId="13" fillId="12" borderId="0" xfId="0" applyFont="1" applyFill="1"/>
    <xf numFmtId="3" fontId="15" fillId="7" borderId="2" xfId="0" applyNumberFormat="1" applyFont="1" applyFill="1" applyBorder="1"/>
    <xf numFmtId="0" fontId="14" fillId="8" borderId="0" xfId="0" applyFont="1" applyFill="1"/>
    <xf numFmtId="0" fontId="15" fillId="8" borderId="0" xfId="0" applyFont="1" applyFill="1"/>
    <xf numFmtId="3" fontId="14" fillId="8" borderId="0" xfId="0" applyNumberFormat="1" applyFont="1" applyFill="1"/>
    <xf numFmtId="0" fontId="47" fillId="18" borderId="29" xfId="0" applyFont="1" applyFill="1" applyBorder="1" applyAlignment="1">
      <alignment horizontal="center"/>
    </xf>
    <xf numFmtId="3" fontId="15" fillId="19" borderId="30" xfId="0" applyNumberFormat="1" applyFont="1" applyFill="1" applyBorder="1"/>
    <xf numFmtId="9" fontId="15" fillId="19" borderId="31" xfId="0" applyNumberFormat="1" applyFont="1" applyFill="1" applyBorder="1"/>
    <xf numFmtId="0" fontId="47" fillId="18" borderId="19" xfId="0" applyFont="1" applyFill="1" applyBorder="1"/>
    <xf numFmtId="166" fontId="15" fillId="18" borderId="20" xfId="0" applyNumberFormat="1" applyFont="1" applyFill="1" applyBorder="1" applyAlignment="1">
      <alignment horizontal="right"/>
    </xf>
    <xf numFmtId="166" fontId="15" fillId="18" borderId="21" xfId="0" applyNumberFormat="1" applyFont="1" applyFill="1" applyBorder="1" applyAlignment="1">
      <alignment horizontal="right"/>
    </xf>
    <xf numFmtId="0" fontId="47" fillId="18" borderId="26" xfId="0" applyFont="1" applyFill="1" applyBorder="1"/>
    <xf numFmtId="0" fontId="14" fillId="18" borderId="27" xfId="0" applyFont="1" applyFill="1" applyBorder="1" applyAlignment="1">
      <alignment horizontal="center"/>
    </xf>
    <xf numFmtId="0" fontId="14" fillId="18" borderId="28" xfId="0" applyFont="1" applyFill="1" applyBorder="1" applyAlignment="1">
      <alignment horizontal="center"/>
    </xf>
    <xf numFmtId="0" fontId="14" fillId="18" borderId="22" xfId="0" applyFont="1" applyFill="1" applyBorder="1" applyAlignment="1">
      <alignment horizontal="center"/>
    </xf>
    <xf numFmtId="165" fontId="15" fillId="18" borderId="0" xfId="1" applyNumberFormat="1" applyFont="1" applyFill="1" applyBorder="1"/>
    <xf numFmtId="165" fontId="15" fillId="18" borderId="23" xfId="1" applyNumberFormat="1" applyFont="1" applyFill="1" applyBorder="1"/>
    <xf numFmtId="0" fontId="15" fillId="18" borderId="26" xfId="0" applyFont="1" applyFill="1" applyBorder="1"/>
    <xf numFmtId="165" fontId="14" fillId="18" borderId="27" xfId="0" applyNumberFormat="1" applyFont="1" applyFill="1" applyBorder="1"/>
    <xf numFmtId="165" fontId="14" fillId="18" borderId="28" xfId="0" applyNumberFormat="1" applyFont="1" applyFill="1" applyBorder="1"/>
    <xf numFmtId="0" fontId="14" fillId="7" borderId="19" xfId="0" applyFont="1" applyFill="1" applyBorder="1"/>
    <xf numFmtId="0" fontId="15" fillId="7" borderId="21" xfId="0" applyFont="1" applyFill="1" applyBorder="1"/>
    <xf numFmtId="0" fontId="14" fillId="7" borderId="29" xfId="0" applyFont="1" applyFill="1" applyBorder="1" applyAlignment="1">
      <alignment horizontal="center"/>
    </xf>
    <xf numFmtId="3" fontId="14" fillId="7" borderId="29" xfId="0" applyNumberFormat="1" applyFont="1" applyFill="1" applyBorder="1"/>
    <xf numFmtId="0" fontId="14" fillId="7" borderId="30" xfId="0" applyFont="1" applyFill="1" applyBorder="1" applyAlignment="1">
      <alignment horizontal="center"/>
    </xf>
    <xf numFmtId="165" fontId="14" fillId="7" borderId="30" xfId="0" applyNumberFormat="1" applyFont="1" applyFill="1" applyBorder="1"/>
    <xf numFmtId="0" fontId="15" fillId="7" borderId="31" xfId="0" applyFont="1" applyFill="1" applyBorder="1"/>
    <xf numFmtId="10" fontId="14" fillId="7" borderId="31" xfId="2" applyNumberFormat="1" applyFont="1" applyFill="1" applyBorder="1" applyAlignment="1"/>
    <xf numFmtId="10" fontId="14" fillId="7" borderId="0" xfId="2" applyNumberFormat="1" applyFont="1" applyFill="1" applyBorder="1" applyAlignment="1"/>
    <xf numFmtId="165" fontId="14" fillId="7" borderId="0" xfId="0" applyNumberFormat="1" applyFont="1" applyFill="1"/>
    <xf numFmtId="0" fontId="47" fillId="7" borderId="19" xfId="0" applyFont="1" applyFill="1" applyBorder="1"/>
    <xf numFmtId="166" fontId="15" fillId="7" borderId="20" xfId="0" applyNumberFormat="1" applyFont="1" applyFill="1" applyBorder="1" applyAlignment="1">
      <alignment horizontal="right"/>
    </xf>
    <xf numFmtId="166" fontId="15" fillId="7" borderId="21" xfId="0" applyNumberFormat="1" applyFont="1" applyFill="1" applyBorder="1" applyAlignment="1">
      <alignment horizontal="right"/>
    </xf>
    <xf numFmtId="166" fontId="15" fillId="7" borderId="29" xfId="0" applyNumberFormat="1" applyFont="1" applyFill="1" applyBorder="1" applyAlignment="1">
      <alignment horizontal="right"/>
    </xf>
    <xf numFmtId="0" fontId="47" fillId="7" borderId="24" xfId="0" applyFont="1" applyFill="1" applyBorder="1"/>
    <xf numFmtId="0" fontId="14" fillId="7" borderId="1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/>
    </xf>
    <xf numFmtId="0" fontId="14" fillId="7" borderId="31" xfId="0" applyFont="1" applyFill="1" applyBorder="1" applyAlignment="1">
      <alignment horizontal="right"/>
    </xf>
    <xf numFmtId="0" fontId="15" fillId="7" borderId="22" xfId="0" applyFont="1" applyFill="1" applyBorder="1" applyAlignment="1">
      <alignment horizontal="center"/>
    </xf>
    <xf numFmtId="165" fontId="14" fillId="7" borderId="23" xfId="0" applyNumberFormat="1" applyFont="1" applyFill="1" applyBorder="1"/>
    <xf numFmtId="166" fontId="14" fillId="7" borderId="29" xfId="0" applyNumberFormat="1" applyFont="1" applyFill="1" applyBorder="1" applyAlignment="1">
      <alignment horizontal="right"/>
    </xf>
    <xf numFmtId="166" fontId="14" fillId="7" borderId="30" xfId="0" applyNumberFormat="1" applyFont="1" applyFill="1" applyBorder="1" applyAlignment="1">
      <alignment horizontal="right"/>
    </xf>
    <xf numFmtId="165" fontId="15" fillId="7" borderId="23" xfId="0" applyNumberFormat="1" applyFont="1" applyFill="1" applyBorder="1"/>
    <xf numFmtId="166" fontId="14" fillId="7" borderId="31" xfId="0" applyNumberFormat="1" applyFont="1" applyFill="1" applyBorder="1" applyAlignment="1">
      <alignment horizontal="right"/>
    </xf>
    <xf numFmtId="166" fontId="15" fillId="7" borderId="26" xfId="0" applyNumberFormat="1" applyFont="1" applyFill="1" applyBorder="1" applyAlignment="1">
      <alignment horizontal="right"/>
    </xf>
    <xf numFmtId="166" fontId="15" fillId="7" borderId="27" xfId="0" applyNumberFormat="1" applyFont="1" applyFill="1" applyBorder="1" applyAlignment="1">
      <alignment horizontal="right"/>
    </xf>
    <xf numFmtId="165" fontId="14" fillId="7" borderId="27" xfId="0" applyNumberFormat="1" applyFont="1" applyFill="1" applyBorder="1"/>
    <xf numFmtId="166" fontId="14" fillId="7" borderId="27" xfId="0" applyNumberFormat="1" applyFont="1" applyFill="1" applyBorder="1" applyAlignment="1">
      <alignment horizontal="right"/>
    </xf>
    <xf numFmtId="166" fontId="15" fillId="7" borderId="28" xfId="0" applyNumberFormat="1" applyFont="1" applyFill="1" applyBorder="1" applyAlignment="1">
      <alignment horizontal="right"/>
    </xf>
    <xf numFmtId="165" fontId="14" fillId="7" borderId="18" xfId="0" applyNumberFormat="1" applyFont="1" applyFill="1" applyBorder="1"/>
    <xf numFmtId="0" fontId="15" fillId="7" borderId="19" xfId="0" applyFont="1" applyFill="1" applyBorder="1"/>
    <xf numFmtId="0" fontId="15" fillId="7" borderId="20" xfId="0" applyFont="1" applyFill="1" applyBorder="1"/>
    <xf numFmtId="165" fontId="15" fillId="7" borderId="20" xfId="0" applyNumberFormat="1" applyFont="1" applyFill="1" applyBorder="1"/>
    <xf numFmtId="165" fontId="15" fillId="7" borderId="21" xfId="0" applyNumberFormat="1" applyFont="1" applyFill="1" applyBorder="1"/>
    <xf numFmtId="0" fontId="15" fillId="7" borderId="24" xfId="0" applyFont="1" applyFill="1" applyBorder="1"/>
    <xf numFmtId="0" fontId="15" fillId="7" borderId="1" xfId="0" applyFont="1" applyFill="1" applyBorder="1"/>
    <xf numFmtId="165" fontId="15" fillId="7" borderId="1" xfId="0" applyNumberFormat="1" applyFont="1" applyFill="1" applyBorder="1"/>
    <xf numFmtId="165" fontId="15" fillId="7" borderId="25" xfId="0" applyNumberFormat="1" applyFont="1" applyFill="1" applyBorder="1"/>
    <xf numFmtId="0" fontId="14" fillId="7" borderId="26" xfId="0" applyFont="1" applyFill="1" applyBorder="1"/>
    <xf numFmtId="0" fontId="15" fillId="7" borderId="27" xfId="0" applyFont="1" applyFill="1" applyBorder="1"/>
    <xf numFmtId="165" fontId="14" fillId="7" borderId="28" xfId="0" applyNumberFormat="1" applyFont="1" applyFill="1" applyBorder="1"/>
    <xf numFmtId="0" fontId="14" fillId="8" borderId="4" xfId="0" applyFont="1" applyFill="1" applyBorder="1"/>
    <xf numFmtId="0" fontId="14" fillId="8" borderId="3" xfId="0" applyFont="1" applyFill="1" applyBorder="1"/>
    <xf numFmtId="3" fontId="14" fillId="8" borderId="3" xfId="0" applyNumberFormat="1" applyFont="1" applyFill="1" applyBorder="1"/>
    <xf numFmtId="3" fontId="14" fillId="8" borderId="5" xfId="0" applyNumberFormat="1" applyFont="1" applyFill="1" applyBorder="1"/>
    <xf numFmtId="0" fontId="15" fillId="7" borderId="13" xfId="0" applyFont="1" applyFill="1" applyBorder="1"/>
    <xf numFmtId="166" fontId="14" fillId="7" borderId="6" xfId="0" applyNumberFormat="1" applyFont="1" applyFill="1" applyBorder="1" applyAlignment="1">
      <alignment horizontal="right"/>
    </xf>
    <xf numFmtId="164" fontId="13" fillId="25" borderId="0" xfId="1" quotePrefix="1" applyFont="1" applyFill="1" applyAlignment="1">
      <alignment horizontal="center"/>
    </xf>
    <xf numFmtId="166" fontId="15" fillId="0" borderId="0" xfId="0" applyNumberFormat="1" applyFont="1" applyAlignment="1">
      <alignment horizontal="right"/>
    </xf>
    <xf numFmtId="166" fontId="17" fillId="6" borderId="0" xfId="0" applyNumberFormat="1" applyFont="1" applyFill="1" applyAlignment="1">
      <alignment horizontal="right"/>
    </xf>
    <xf numFmtId="0" fontId="49" fillId="30" borderId="0" xfId="0" applyFont="1" applyFill="1"/>
    <xf numFmtId="0" fontId="50" fillId="30" borderId="0" xfId="0" applyFont="1" applyFill="1"/>
    <xf numFmtId="0" fontId="43" fillId="30" borderId="0" xfId="0" applyFont="1" applyFill="1"/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47" fillId="2" borderId="0" xfId="0" applyFont="1" applyFill="1"/>
    <xf numFmtId="0" fontId="48" fillId="2" borderId="0" xfId="0" applyFont="1" applyFill="1"/>
    <xf numFmtId="0" fontId="14" fillId="15" borderId="0" xfId="0" applyFont="1" applyFill="1"/>
    <xf numFmtId="166" fontId="15" fillId="15" borderId="11" xfId="0" applyNumberFormat="1" applyFont="1" applyFill="1" applyBorder="1" applyAlignment="1">
      <alignment horizontal="right"/>
    </xf>
    <xf numFmtId="0" fontId="16" fillId="15" borderId="0" xfId="0" applyFont="1" applyFill="1" applyAlignment="1">
      <alignment vertical="center"/>
    </xf>
    <xf numFmtId="166" fontId="15" fillId="15" borderId="10" xfId="0" applyNumberFormat="1" applyFont="1" applyFill="1" applyBorder="1" applyAlignment="1">
      <alignment horizontal="right"/>
    </xf>
    <xf numFmtId="0" fontId="16" fillId="15" borderId="0" xfId="0" applyFont="1" applyFill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0" fontId="15" fillId="15" borderId="0" xfId="0" applyFont="1" applyFill="1"/>
    <xf numFmtId="0" fontId="43" fillId="7" borderId="0" xfId="0" applyFont="1" applyFill="1"/>
    <xf numFmtId="0" fontId="51" fillId="7" borderId="0" xfId="0" applyFont="1" applyFill="1" applyAlignment="1">
      <alignment vertical="center"/>
    </xf>
    <xf numFmtId="165" fontId="51" fillId="15" borderId="3" xfId="1" applyNumberFormat="1" applyFont="1" applyFill="1" applyBorder="1" applyAlignment="1">
      <alignment horizontal="right" vertical="center"/>
    </xf>
    <xf numFmtId="165" fontId="22" fillId="7" borderId="0" xfId="1" applyNumberFormat="1" applyFont="1" applyFill="1"/>
    <xf numFmtId="0" fontId="52" fillId="7" borderId="0" xfId="0" applyFont="1" applyFill="1"/>
    <xf numFmtId="165" fontId="51" fillId="21" borderId="0" xfId="1" applyNumberFormat="1" applyFont="1" applyFill="1" applyBorder="1" applyAlignment="1">
      <alignment horizontal="right" vertical="center"/>
    </xf>
    <xf numFmtId="165" fontId="51" fillId="20" borderId="0" xfId="1" applyNumberFormat="1" applyFont="1" applyFill="1" applyBorder="1" applyAlignment="1">
      <alignment horizontal="right" vertical="center"/>
    </xf>
    <xf numFmtId="166" fontId="22" fillId="7" borderId="2" xfId="0" applyNumberFormat="1" applyFont="1" applyFill="1" applyBorder="1" applyAlignment="1">
      <alignment horizontal="right"/>
    </xf>
    <xf numFmtId="166" fontId="52" fillId="7" borderId="0" xfId="0" applyNumberFormat="1" applyFont="1" applyFill="1" applyAlignment="1">
      <alignment horizontal="right"/>
    </xf>
    <xf numFmtId="166" fontId="22" fillId="30" borderId="0" xfId="0" applyNumberFormat="1" applyFont="1" applyFill="1" applyAlignment="1">
      <alignment horizontal="right"/>
    </xf>
    <xf numFmtId="166" fontId="22" fillId="7" borderId="0" xfId="0" applyNumberFormat="1" applyFont="1" applyFill="1"/>
    <xf numFmtId="164" fontId="22" fillId="7" borderId="0" xfId="1" applyFont="1" applyFill="1"/>
    <xf numFmtId="166" fontId="22" fillId="7" borderId="2" xfId="0" applyNumberFormat="1" applyFont="1" applyFill="1" applyBorder="1"/>
    <xf numFmtId="164" fontId="22" fillId="7" borderId="2" xfId="1" applyFont="1" applyFill="1" applyBorder="1"/>
    <xf numFmtId="165" fontId="51" fillId="21" borderId="2" xfId="1" applyNumberFormat="1" applyFont="1" applyFill="1" applyBorder="1" applyAlignment="1">
      <alignment horizontal="right" vertical="center"/>
    </xf>
    <xf numFmtId="165" fontId="51" fillId="20" borderId="2" xfId="1" applyNumberFormat="1" applyFont="1" applyFill="1" applyBorder="1" applyAlignment="1">
      <alignment horizontal="right" vertical="center"/>
    </xf>
    <xf numFmtId="0" fontId="53" fillId="7" borderId="0" xfId="0" applyFont="1" applyFill="1" applyAlignment="1">
      <alignment horizontal="right"/>
    </xf>
    <xf numFmtId="166" fontId="54" fillId="7" borderId="0" xfId="0" applyNumberFormat="1" applyFont="1" applyFill="1" applyAlignment="1">
      <alignment horizontal="right"/>
    </xf>
    <xf numFmtId="0" fontId="22" fillId="15" borderId="0" xfId="0" applyFont="1" applyFill="1"/>
    <xf numFmtId="0" fontId="51" fillId="15" borderId="0" xfId="0" applyFont="1" applyFill="1" applyAlignment="1">
      <alignment vertical="center"/>
    </xf>
    <xf numFmtId="0" fontId="54" fillId="7" borderId="0" xfId="0" applyFont="1" applyFill="1" applyAlignment="1">
      <alignment horizontal="center"/>
    </xf>
    <xf numFmtId="0" fontId="52" fillId="15" borderId="0" xfId="0" applyFont="1" applyFill="1"/>
    <xf numFmtId="166" fontId="52" fillId="15" borderId="0" xfId="0" applyNumberFormat="1" applyFont="1" applyFill="1" applyAlignment="1">
      <alignment horizontal="right"/>
    </xf>
    <xf numFmtId="166" fontId="22" fillId="15" borderId="0" xfId="0" applyNumberFormat="1" applyFont="1" applyFill="1" applyAlignment="1">
      <alignment horizontal="right"/>
    </xf>
    <xf numFmtId="0" fontId="18" fillId="9" borderId="0" xfId="0" applyFont="1" applyFill="1"/>
    <xf numFmtId="0" fontId="20" fillId="9" borderId="0" xfId="0" applyFont="1" applyFill="1"/>
    <xf numFmtId="0" fontId="18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42" fillId="9" borderId="0" xfId="0" applyFont="1" applyFill="1"/>
    <xf numFmtId="0" fontId="55" fillId="9" borderId="0" xfId="0" applyFont="1" applyFill="1"/>
    <xf numFmtId="0" fontId="56" fillId="7" borderId="0" xfId="0" applyFont="1" applyFill="1"/>
    <xf numFmtId="0" fontId="57" fillId="0" borderId="0" xfId="0" applyFont="1"/>
    <xf numFmtId="0" fontId="42" fillId="9" borderId="0" xfId="0" applyFont="1" applyFill="1" applyAlignment="1">
      <alignment horizontal="center" vertical="center"/>
    </xf>
    <xf numFmtId="0" fontId="55" fillId="9" borderId="0" xfId="0" applyFont="1" applyFill="1" applyAlignment="1">
      <alignment horizontal="center" vertical="center"/>
    </xf>
    <xf numFmtId="0" fontId="43" fillId="0" borderId="0" xfId="0" applyFont="1"/>
    <xf numFmtId="165" fontId="12" fillId="30" borderId="0" xfId="1" applyNumberFormat="1" applyFont="1" applyFill="1" applyAlignment="1">
      <alignment horizontal="right" vertical="center"/>
    </xf>
    <xf numFmtId="165" fontId="12" fillId="30" borderId="2" xfId="1" applyNumberFormat="1" applyFont="1" applyFill="1" applyBorder="1" applyAlignment="1">
      <alignment horizontal="right" vertical="center"/>
    </xf>
    <xf numFmtId="165" fontId="23" fillId="30" borderId="0" xfId="1" applyNumberFormat="1" applyFont="1" applyFill="1" applyAlignment="1">
      <alignment horizontal="right" vertical="center"/>
    </xf>
    <xf numFmtId="165" fontId="7" fillId="30" borderId="0" xfId="1" applyNumberFormat="1" applyFont="1" applyFill="1"/>
    <xf numFmtId="165" fontId="23" fillId="30" borderId="1" xfId="1" applyNumberFormat="1" applyFont="1" applyFill="1" applyBorder="1" applyAlignment="1">
      <alignment horizontal="right" vertical="center"/>
    </xf>
    <xf numFmtId="165" fontId="23" fillId="30" borderId="3" xfId="1" applyNumberFormat="1" applyFont="1" applyFill="1" applyBorder="1" applyAlignment="1">
      <alignment horizontal="right" vertical="center"/>
    </xf>
    <xf numFmtId="165" fontId="12" fillId="30" borderId="0" xfId="1" applyNumberFormat="1" applyFont="1" applyFill="1" applyBorder="1" applyAlignment="1">
      <alignment horizontal="right" vertical="center"/>
    </xf>
    <xf numFmtId="165" fontId="7" fillId="30" borderId="2" xfId="1" applyNumberFormat="1" applyFont="1" applyFill="1" applyBorder="1"/>
    <xf numFmtId="165" fontId="35" fillId="7" borderId="0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17" fillId="14" borderId="0" xfId="0" applyFont="1" applyFill="1"/>
    <xf numFmtId="0" fontId="13" fillId="14" borderId="0" xfId="0" applyFont="1" applyFill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24" fillId="13" borderId="0" xfId="0" applyFont="1" applyFill="1" applyAlignment="1">
      <alignment vertical="center"/>
    </xf>
    <xf numFmtId="0" fontId="24" fillId="13" borderId="0" xfId="0" applyFont="1" applyFill="1" applyAlignment="1">
      <alignment horizontal="center" vertical="center"/>
    </xf>
    <xf numFmtId="0" fontId="15" fillId="13" borderId="0" xfId="0" applyFont="1" applyFill="1"/>
    <xf numFmtId="165" fontId="24" fillId="13" borderId="0" xfId="0" applyNumberFormat="1" applyFont="1" applyFill="1" applyAlignment="1">
      <alignment horizontal="center" vertical="center"/>
    </xf>
    <xf numFmtId="165" fontId="14" fillId="0" borderId="0" xfId="0" applyNumberFormat="1" applyFont="1"/>
    <xf numFmtId="165" fontId="16" fillId="7" borderId="0" xfId="0" applyNumberFormat="1" applyFont="1" applyFill="1" applyAlignment="1">
      <alignment horizontal="center" vertical="center"/>
    </xf>
    <xf numFmtId="165" fontId="15" fillId="0" borderId="0" xfId="1" applyNumberFormat="1" applyFont="1"/>
    <xf numFmtId="165" fontId="15" fillId="13" borderId="0" xfId="1" applyNumberFormat="1" applyFont="1" applyFill="1"/>
    <xf numFmtId="165" fontId="24" fillId="7" borderId="0" xfId="0" applyNumberFormat="1" applyFont="1" applyFill="1" applyAlignment="1">
      <alignment horizontal="center" vertical="center"/>
    </xf>
    <xf numFmtId="0" fontId="14" fillId="7" borderId="7" xfId="0" applyFont="1" applyFill="1" applyBorder="1"/>
    <xf numFmtId="166" fontId="15" fillId="7" borderId="15" xfId="0" applyNumberFormat="1" applyFont="1" applyFill="1" applyBorder="1" applyAlignment="1">
      <alignment horizontal="right"/>
    </xf>
    <xf numFmtId="165" fontId="15" fillId="0" borderId="0" xfId="0" applyNumberFormat="1" applyFont="1"/>
    <xf numFmtId="0" fontId="14" fillId="7" borderId="10" xfId="0" applyFont="1" applyFill="1" applyBorder="1"/>
    <xf numFmtId="166" fontId="15" fillId="7" borderId="16" xfId="0" applyNumberFormat="1" applyFont="1" applyFill="1" applyBorder="1" applyAlignment="1">
      <alignment horizontal="right"/>
    </xf>
    <xf numFmtId="166" fontId="15" fillId="7" borderId="17" xfId="0" applyNumberFormat="1" applyFont="1" applyFill="1" applyBorder="1" applyAlignment="1">
      <alignment horizontal="right"/>
    </xf>
    <xf numFmtId="0" fontId="15" fillId="7" borderId="12" xfId="0" applyFont="1" applyFill="1" applyBorder="1"/>
    <xf numFmtId="166" fontId="14" fillId="15" borderId="10" xfId="0" applyNumberFormat="1" applyFont="1" applyFill="1" applyBorder="1" applyAlignment="1">
      <alignment horizontal="right"/>
    </xf>
    <xf numFmtId="166" fontId="15" fillId="15" borderId="0" xfId="0" applyNumberFormat="1" applyFont="1" applyFill="1" applyAlignment="1">
      <alignment horizontal="right"/>
    </xf>
    <xf numFmtId="165" fontId="24" fillId="15" borderId="18" xfId="0" applyNumberFormat="1" applyFont="1" applyFill="1" applyBorder="1" applyAlignment="1">
      <alignment horizontal="center" vertical="center"/>
    </xf>
    <xf numFmtId="0" fontId="29" fillId="31" borderId="0" xfId="0" applyFont="1" applyFill="1"/>
    <xf numFmtId="0" fontId="28" fillId="31" borderId="0" xfId="0" applyFont="1" applyFill="1"/>
    <xf numFmtId="0" fontId="38" fillId="31" borderId="0" xfId="0" applyFont="1" applyFill="1"/>
    <xf numFmtId="0" fontId="37" fillId="31" borderId="0" xfId="0" applyFont="1" applyFill="1"/>
    <xf numFmtId="164" fontId="44" fillId="32" borderId="0" xfId="1" applyFont="1" applyFill="1" applyAlignment="1">
      <alignment horizontal="center"/>
    </xf>
    <xf numFmtId="164" fontId="21" fillId="32" borderId="0" xfId="1" quotePrefix="1" applyFont="1" applyFill="1" applyAlignment="1">
      <alignment horizontal="center"/>
    </xf>
    <xf numFmtId="0" fontId="58" fillId="33" borderId="0" xfId="0" applyFont="1" applyFill="1" applyAlignment="1">
      <alignment vertical="center"/>
    </xf>
    <xf numFmtId="0" fontId="59" fillId="33" borderId="0" xfId="0" applyFont="1" applyFill="1"/>
    <xf numFmtId="0" fontId="60" fillId="33" borderId="0" xfId="0" applyFont="1" applyFill="1"/>
    <xf numFmtId="166" fontId="59" fillId="33" borderId="0" xfId="0" applyNumberFormat="1" applyFont="1" applyFill="1" applyAlignment="1">
      <alignment horizontal="right"/>
    </xf>
    <xf numFmtId="166" fontId="59" fillId="33" borderId="11" xfId="0" applyNumberFormat="1" applyFont="1" applyFill="1" applyBorder="1" applyAlignment="1">
      <alignment horizontal="right"/>
    </xf>
    <xf numFmtId="0" fontId="13" fillId="6" borderId="0" xfId="0" applyFont="1" applyFill="1" applyAlignment="1">
      <alignment horizontal="center"/>
    </xf>
    <xf numFmtId="166" fontId="14" fillId="2" borderId="0" xfId="0" applyNumberFormat="1" applyFont="1" applyFill="1" applyAlignment="1">
      <alignment horizontal="center"/>
    </xf>
    <xf numFmtId="0" fontId="14" fillId="2" borderId="2" xfId="0" applyFont="1" applyFill="1" applyBorder="1"/>
    <xf numFmtId="166" fontId="14" fillId="2" borderId="2" xfId="0" applyNumberFormat="1" applyFont="1" applyFill="1" applyBorder="1" applyAlignment="1">
      <alignment horizontal="center"/>
    </xf>
    <xf numFmtId="166" fontId="59" fillId="20" borderId="0" xfId="0" applyNumberFormat="1" applyFont="1" applyFill="1" applyAlignment="1">
      <alignment horizontal="right"/>
    </xf>
    <xf numFmtId="166" fontId="60" fillId="20" borderId="11" xfId="0" applyNumberFormat="1" applyFont="1" applyFill="1" applyBorder="1" applyAlignment="1">
      <alignment horizontal="right"/>
    </xf>
    <xf numFmtId="166" fontId="60" fillId="20" borderId="10" xfId="0" applyNumberFormat="1" applyFont="1" applyFill="1" applyBorder="1" applyAlignment="1">
      <alignment horizontal="right"/>
    </xf>
    <xf numFmtId="166" fontId="60" fillId="20" borderId="0" xfId="0" applyNumberFormat="1" applyFont="1" applyFill="1" applyAlignment="1">
      <alignment horizontal="right"/>
    </xf>
    <xf numFmtId="166" fontId="59" fillId="20" borderId="10" xfId="0" applyNumberFormat="1" applyFont="1" applyFill="1" applyBorder="1" applyAlignment="1">
      <alignment horizontal="right"/>
    </xf>
    <xf numFmtId="0" fontId="16" fillId="34" borderId="26" xfId="0" applyFont="1" applyFill="1" applyBorder="1" applyAlignment="1">
      <alignment vertical="center"/>
    </xf>
    <xf numFmtId="165" fontId="16" fillId="34" borderId="27" xfId="1" applyNumberFormat="1" applyFont="1" applyFill="1" applyBorder="1" applyAlignment="1">
      <alignment horizontal="right" vertical="center"/>
    </xf>
    <xf numFmtId="165" fontId="16" fillId="34" borderId="32" xfId="1" applyNumberFormat="1" applyFont="1" applyFill="1" applyBorder="1" applyAlignment="1">
      <alignment horizontal="right" vertical="center"/>
    </xf>
    <xf numFmtId="165" fontId="15" fillId="34" borderId="27" xfId="1" applyNumberFormat="1" applyFont="1" applyFill="1" applyBorder="1"/>
    <xf numFmtId="165" fontId="16" fillId="34" borderId="28" xfId="1" applyNumberFormat="1" applyFont="1" applyFill="1" applyBorder="1" applyAlignment="1">
      <alignment horizontal="right" vertical="center"/>
    </xf>
    <xf numFmtId="0" fontId="61" fillId="7" borderId="1" xfId="1" applyNumberFormat="1" applyFont="1" applyFill="1" applyBorder="1" applyAlignment="1">
      <alignment horizontal="right" vertical="center"/>
    </xf>
    <xf numFmtId="0" fontId="14" fillId="34" borderId="0" xfId="0" applyFont="1" applyFill="1"/>
    <xf numFmtId="166" fontId="14" fillId="34" borderId="0" xfId="0" applyNumberFormat="1" applyFont="1" applyFill="1" applyAlignment="1">
      <alignment horizontal="right"/>
    </xf>
    <xf numFmtId="3" fontId="14" fillId="34" borderId="0" xfId="0" applyNumberFormat="1" applyFont="1" applyFill="1" applyAlignment="1">
      <alignment horizontal="right"/>
    </xf>
    <xf numFmtId="3" fontId="14" fillId="34" borderId="3" xfId="0" applyNumberFormat="1" applyFont="1" applyFill="1" applyBorder="1" applyAlignment="1">
      <alignment horizontal="right"/>
    </xf>
    <xf numFmtId="3" fontId="14" fillId="34" borderId="2" xfId="0" applyNumberFormat="1" applyFont="1" applyFill="1" applyBorder="1" applyAlignment="1">
      <alignment horizontal="right"/>
    </xf>
    <xf numFmtId="3" fontId="15" fillId="15" borderId="0" xfId="0" applyNumberFormat="1" applyFont="1" applyFill="1" applyAlignment="1">
      <alignment horizontal="right"/>
    </xf>
    <xf numFmtId="0" fontId="62" fillId="6" borderId="0" xfId="0" applyFont="1" applyFill="1"/>
    <xf numFmtId="166" fontId="62" fillId="6" borderId="10" xfId="0" applyNumberFormat="1" applyFont="1" applyFill="1" applyBorder="1" applyAlignment="1">
      <alignment horizontal="right"/>
    </xf>
    <xf numFmtId="166" fontId="62" fillId="6" borderId="11" xfId="0" applyNumberFormat="1" applyFont="1" applyFill="1" applyBorder="1" applyAlignment="1">
      <alignment horizontal="right"/>
    </xf>
    <xf numFmtId="166" fontId="62" fillId="6" borderId="0" xfId="0" applyNumberFormat="1" applyFont="1" applyFill="1" applyAlignment="1">
      <alignment horizontal="right"/>
    </xf>
    <xf numFmtId="0" fontId="63" fillId="6" borderId="0" xfId="0" applyFont="1" applyFill="1"/>
    <xf numFmtId="166" fontId="63" fillId="6" borderId="10" xfId="0" applyNumberFormat="1" applyFont="1" applyFill="1" applyBorder="1" applyAlignment="1">
      <alignment horizontal="right"/>
    </xf>
    <xf numFmtId="166" fontId="63" fillId="6" borderId="11" xfId="0" applyNumberFormat="1" applyFont="1" applyFill="1" applyBorder="1" applyAlignment="1">
      <alignment horizontal="right"/>
    </xf>
    <xf numFmtId="166" fontId="63" fillId="6" borderId="0" xfId="0" applyNumberFormat="1" applyFont="1" applyFill="1" applyAlignment="1">
      <alignment horizontal="right"/>
    </xf>
    <xf numFmtId="0" fontId="12" fillId="34" borderId="0" xfId="0" applyFont="1" applyFill="1" applyAlignment="1">
      <alignment vertical="center"/>
    </xf>
    <xf numFmtId="0" fontId="7" fillId="34" borderId="0" xfId="0" applyFont="1" applyFill="1"/>
    <xf numFmtId="165" fontId="12" fillId="34" borderId="0" xfId="1" applyNumberFormat="1" applyFont="1" applyFill="1" applyBorder="1" applyAlignment="1">
      <alignment horizontal="right" vertical="center"/>
    </xf>
    <xf numFmtId="166" fontId="7" fillId="34" borderId="0" xfId="0" applyNumberFormat="1" applyFont="1" applyFill="1" applyAlignment="1">
      <alignment horizontal="right"/>
    </xf>
    <xf numFmtId="165" fontId="12" fillId="34" borderId="0" xfId="1" applyNumberFormat="1" applyFont="1" applyFill="1" applyAlignment="1">
      <alignment horizontal="right" vertical="center"/>
    </xf>
    <xf numFmtId="0" fontId="6" fillId="34" borderId="0" xfId="0" applyFont="1" applyFill="1"/>
    <xf numFmtId="165" fontId="14" fillId="34" borderId="0" xfId="1" applyNumberFormat="1" applyFont="1" applyFill="1"/>
    <xf numFmtId="165" fontId="24" fillId="34" borderId="0" xfId="0" applyNumberFormat="1" applyFont="1" applyFill="1" applyAlignment="1">
      <alignment horizontal="center" vertical="center"/>
    </xf>
    <xf numFmtId="166" fontId="22" fillId="0" borderId="0" xfId="0" applyNumberFormat="1" applyFont="1"/>
    <xf numFmtId="0" fontId="64" fillId="7" borderId="0" xfId="0" applyFont="1" applyFill="1"/>
    <xf numFmtId="0" fontId="50" fillId="35" borderId="0" xfId="0" applyFont="1" applyFill="1"/>
    <xf numFmtId="0" fontId="65" fillId="35" borderId="0" xfId="0" applyFont="1" applyFill="1"/>
    <xf numFmtId="0" fontId="66" fillId="7" borderId="0" xfId="0" applyFont="1" applyFill="1" applyAlignment="1">
      <alignment vertical="center"/>
    </xf>
    <xf numFmtId="0" fontId="14" fillId="36" borderId="0" xfId="0" applyFont="1" applyFill="1"/>
    <xf numFmtId="0" fontId="15" fillId="36" borderId="0" xfId="0" applyFont="1" applyFill="1"/>
    <xf numFmtId="0" fontId="14" fillId="36" borderId="0" xfId="0" applyFont="1" applyFill="1" applyAlignment="1">
      <alignment horizontal="center"/>
    </xf>
    <xf numFmtId="3" fontId="15" fillId="36" borderId="0" xfId="0" applyNumberFormat="1" applyFont="1" applyFill="1" applyAlignment="1">
      <alignment horizontal="right"/>
    </xf>
    <xf numFmtId="3" fontId="14" fillId="36" borderId="3" xfId="0" applyNumberFormat="1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3" fontId="15" fillId="2" borderId="0" xfId="0" applyNumberFormat="1" applyFont="1" applyFill="1" applyAlignment="1">
      <alignment horizontal="right"/>
    </xf>
    <xf numFmtId="3" fontId="14" fillId="2" borderId="3" xfId="0" applyNumberFormat="1" applyFont="1" applyFill="1" applyBorder="1" applyAlignment="1">
      <alignment horizontal="right"/>
    </xf>
    <xf numFmtId="3" fontId="14" fillId="36" borderId="0" xfId="0" applyNumberFormat="1" applyFont="1" applyFill="1" applyAlignment="1">
      <alignment horizontal="right"/>
    </xf>
    <xf numFmtId="3" fontId="14" fillId="2" borderId="0" xfId="0" applyNumberFormat="1" applyFont="1" applyFill="1" applyAlignment="1">
      <alignment horizontal="right"/>
    </xf>
    <xf numFmtId="0" fontId="14" fillId="20" borderId="0" xfId="0" applyFont="1" applyFill="1"/>
    <xf numFmtId="0" fontId="15" fillId="20" borderId="0" xfId="0" applyFont="1" applyFill="1"/>
    <xf numFmtId="3" fontId="14" fillId="20" borderId="3" xfId="0" applyNumberFormat="1" applyFont="1" applyFill="1" applyBorder="1" applyAlignment="1">
      <alignment horizontal="right"/>
    </xf>
    <xf numFmtId="166" fontId="64" fillId="15" borderId="0" xfId="0" applyNumberFormat="1" applyFont="1" applyFill="1" applyAlignment="1">
      <alignment horizontal="right"/>
    </xf>
    <xf numFmtId="166" fontId="19" fillId="15" borderId="11" xfId="0" applyNumberFormat="1" applyFont="1" applyFill="1" applyBorder="1" applyAlignment="1">
      <alignment horizontal="right"/>
    </xf>
    <xf numFmtId="166" fontId="19" fillId="15" borderId="0" xfId="0" applyNumberFormat="1" applyFont="1" applyFill="1" applyAlignment="1">
      <alignment horizontal="right"/>
    </xf>
    <xf numFmtId="165" fontId="17" fillId="12" borderId="27" xfId="1" applyNumberFormat="1" applyFont="1" applyFill="1" applyBorder="1"/>
    <xf numFmtId="0" fontId="16" fillId="2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6" fillId="34" borderId="33" xfId="0" applyFont="1" applyFill="1" applyBorder="1" applyAlignment="1">
      <alignment vertical="center"/>
    </xf>
    <xf numFmtId="0" fontId="67" fillId="7" borderId="0" xfId="0" applyFont="1" applyFill="1" applyAlignment="1">
      <alignment vertical="center"/>
    </xf>
    <xf numFmtId="166" fontId="64" fillId="15" borderId="11" xfId="0" applyNumberFormat="1" applyFont="1" applyFill="1" applyBorder="1" applyAlignment="1">
      <alignment horizontal="right"/>
    </xf>
    <xf numFmtId="0" fontId="51" fillId="7" borderId="26" xfId="0" applyFont="1" applyFill="1" applyBorder="1" applyAlignment="1">
      <alignment vertical="center"/>
    </xf>
    <xf numFmtId="0" fontId="22" fillId="7" borderId="27" xfId="0" applyFont="1" applyFill="1" applyBorder="1"/>
    <xf numFmtId="165" fontId="51" fillId="15" borderId="27" xfId="1" applyNumberFormat="1" applyFont="1" applyFill="1" applyBorder="1" applyAlignment="1">
      <alignment horizontal="right" vertical="center"/>
    </xf>
    <xf numFmtId="165" fontId="51" fillId="15" borderId="28" xfId="1" applyNumberFormat="1" applyFont="1" applyFill="1" applyBorder="1" applyAlignment="1">
      <alignment horizontal="right" vertical="center"/>
    </xf>
    <xf numFmtId="0" fontId="52" fillId="34" borderId="0" xfId="0" applyFont="1" applyFill="1"/>
    <xf numFmtId="166" fontId="52" fillId="34" borderId="0" xfId="0" applyNumberFormat="1" applyFont="1" applyFill="1" applyAlignment="1">
      <alignment horizontal="right"/>
    </xf>
    <xf numFmtId="166" fontId="26" fillId="34" borderId="0" xfId="0" applyNumberFormat="1" applyFont="1" applyFill="1" applyAlignment="1">
      <alignment horizontal="right"/>
    </xf>
    <xf numFmtId="0" fontId="26" fillId="34" borderId="0" xfId="0" applyFont="1" applyFill="1"/>
    <xf numFmtId="0" fontId="23" fillId="34" borderId="0" xfId="0" applyFont="1" applyFill="1" applyAlignment="1">
      <alignment vertical="center"/>
    </xf>
    <xf numFmtId="166" fontId="26" fillId="34" borderId="2" xfId="0" applyNumberFormat="1" applyFont="1" applyFill="1" applyBorder="1" applyAlignment="1">
      <alignment horizontal="right"/>
    </xf>
    <xf numFmtId="166" fontId="64" fillId="15" borderId="28" xfId="0" applyNumberFormat="1" applyFont="1" applyFill="1" applyBorder="1" applyAlignment="1">
      <alignment horizontal="right"/>
    </xf>
    <xf numFmtId="166" fontId="18" fillId="12" borderId="19" xfId="0" applyNumberFormat="1" applyFont="1" applyFill="1" applyBorder="1" applyAlignment="1">
      <alignment horizontal="right"/>
    </xf>
    <xf numFmtId="166" fontId="18" fillId="12" borderId="21" xfId="0" applyNumberFormat="1" applyFont="1" applyFill="1" applyBorder="1" applyAlignment="1">
      <alignment horizontal="right"/>
    </xf>
    <xf numFmtId="166" fontId="18" fillId="12" borderId="22" xfId="0" applyNumberFormat="1" applyFont="1" applyFill="1" applyBorder="1" applyAlignment="1">
      <alignment horizontal="right"/>
    </xf>
    <xf numFmtId="166" fontId="18" fillId="12" borderId="23" xfId="0" applyNumberFormat="1" applyFont="1" applyFill="1" applyBorder="1" applyAlignment="1">
      <alignment horizontal="right"/>
    </xf>
    <xf numFmtId="166" fontId="18" fillId="12" borderId="24" xfId="0" applyNumberFormat="1" applyFont="1" applyFill="1" applyBorder="1" applyAlignment="1">
      <alignment horizontal="right"/>
    </xf>
    <xf numFmtId="166" fontId="18" fillId="12" borderId="25" xfId="0" applyNumberFormat="1" applyFont="1" applyFill="1" applyBorder="1" applyAlignment="1">
      <alignment horizontal="right"/>
    </xf>
    <xf numFmtId="166" fontId="64" fillId="20" borderId="18" xfId="0" applyNumberFormat="1" applyFont="1" applyFill="1" applyBorder="1" applyAlignment="1">
      <alignment horizontal="right"/>
    </xf>
    <xf numFmtId="166" fontId="64" fillId="20" borderId="28" xfId="0" applyNumberFormat="1" applyFont="1" applyFill="1" applyBorder="1" applyAlignment="1">
      <alignment horizontal="right"/>
    </xf>
    <xf numFmtId="165" fontId="24" fillId="30" borderId="29" xfId="0" applyNumberFormat="1" applyFont="1" applyFill="1" applyBorder="1" applyAlignment="1">
      <alignment horizontal="center" vertical="center"/>
    </xf>
    <xf numFmtId="165" fontId="16" fillId="7" borderId="30" xfId="0" applyNumberFormat="1" applyFont="1" applyFill="1" applyBorder="1" applyAlignment="1">
      <alignment horizontal="center" vertical="center"/>
    </xf>
    <xf numFmtId="166" fontId="15" fillId="7" borderId="30" xfId="0" applyNumberFormat="1" applyFont="1" applyFill="1" applyBorder="1" applyAlignment="1">
      <alignment horizontal="right"/>
    </xf>
    <xf numFmtId="165" fontId="24" fillId="30" borderId="30" xfId="0" applyNumberFormat="1" applyFont="1" applyFill="1" applyBorder="1" applyAlignment="1">
      <alignment horizontal="center" vertical="center"/>
    </xf>
    <xf numFmtId="166" fontId="14" fillId="34" borderId="30" xfId="0" applyNumberFormat="1" applyFont="1" applyFill="1" applyBorder="1" applyAlignment="1">
      <alignment horizontal="right"/>
    </xf>
    <xf numFmtId="165" fontId="24" fillId="30" borderId="31" xfId="0" applyNumberFormat="1" applyFont="1" applyFill="1" applyBorder="1" applyAlignment="1">
      <alignment horizontal="center" vertical="center"/>
    </xf>
    <xf numFmtId="165" fontId="14" fillId="20" borderId="0" xfId="0" applyNumberFormat="1" applyFont="1" applyFill="1"/>
    <xf numFmtId="165" fontId="16" fillId="7" borderId="26" xfId="0" applyNumberFormat="1" applyFont="1" applyFill="1" applyBorder="1" applyAlignment="1">
      <alignment horizontal="center" vertical="center"/>
    </xf>
    <xf numFmtId="165" fontId="16" fillId="7" borderId="27" xfId="0" applyNumberFormat="1" applyFont="1" applyFill="1" applyBorder="1" applyAlignment="1">
      <alignment horizontal="center" vertical="center"/>
    </xf>
    <xf numFmtId="165" fontId="16" fillId="7" borderId="28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/>
    </xf>
    <xf numFmtId="0" fontId="41" fillId="26" borderId="0" xfId="0" applyFont="1" applyFill="1" applyAlignment="1">
      <alignment horizontal="center" wrapText="1"/>
    </xf>
    <xf numFmtId="0" fontId="40" fillId="23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99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889003</xdr:colOff>
      <xdr:row>77</xdr:row>
      <xdr:rowOff>52917</xdr:rowOff>
    </xdr:from>
    <xdr:to>
      <xdr:col>12</xdr:col>
      <xdr:colOff>539752</xdr:colOff>
      <xdr:row>81</xdr:row>
      <xdr:rowOff>148167</xdr:rowOff>
    </xdr:to>
    <xdr:sp macro="" textlink="">
      <xdr:nvSpPr>
        <xdr:cNvPr id="4" name="Flecha: hacia arriba 3">
          <a:extLst>
            <a:ext uri="{FF2B5EF4-FFF2-40B4-BE49-F238E27FC236}">
              <a16:creationId xmlns:a16="http://schemas.microsoft.com/office/drawing/2014/main" id="{4227FF7A-0458-F8B1-E535-4E77803EE88D}"/>
            </a:ext>
          </a:extLst>
        </xdr:cNvPr>
        <xdr:cNvSpPr/>
      </xdr:nvSpPr>
      <xdr:spPr>
        <a:xfrm>
          <a:off x="13282086" y="14128750"/>
          <a:ext cx="656166" cy="899584"/>
        </a:xfrm>
        <a:prstGeom prst="up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  <xdr:twoCellAnchor>
    <xdr:from>
      <xdr:col>11</xdr:col>
      <xdr:colOff>391582</xdr:colOff>
      <xdr:row>49</xdr:row>
      <xdr:rowOff>10583</xdr:rowOff>
    </xdr:from>
    <xdr:to>
      <xdr:col>12</xdr:col>
      <xdr:colOff>21165</xdr:colOff>
      <xdr:row>52</xdr:row>
      <xdr:rowOff>74083</xdr:rowOff>
    </xdr:to>
    <xdr:sp macro="" textlink="">
      <xdr:nvSpPr>
        <xdr:cNvPr id="5" name="Flecha: hacia arriba 4">
          <a:extLst>
            <a:ext uri="{FF2B5EF4-FFF2-40B4-BE49-F238E27FC236}">
              <a16:creationId xmlns:a16="http://schemas.microsoft.com/office/drawing/2014/main" id="{EC4DD728-C2BC-D55E-70F5-BE2D39050533}"/>
            </a:ext>
          </a:extLst>
        </xdr:cNvPr>
        <xdr:cNvSpPr/>
      </xdr:nvSpPr>
      <xdr:spPr>
        <a:xfrm>
          <a:off x="12784665" y="8424333"/>
          <a:ext cx="635000" cy="677333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392906</xdr:colOff>
      <xdr:row>126</xdr:row>
      <xdr:rowOff>59527</xdr:rowOff>
    </xdr:from>
    <xdr:to>
      <xdr:col>12</xdr:col>
      <xdr:colOff>202406</xdr:colOff>
      <xdr:row>130</xdr:row>
      <xdr:rowOff>166683</xdr:rowOff>
    </xdr:to>
    <xdr:sp macro="" textlink="">
      <xdr:nvSpPr>
        <xdr:cNvPr id="3" name="Flecha: hacia arriba 2">
          <a:extLst>
            <a:ext uri="{FF2B5EF4-FFF2-40B4-BE49-F238E27FC236}">
              <a16:creationId xmlns:a16="http://schemas.microsoft.com/office/drawing/2014/main" id="{BFB89981-3EFD-D9B7-8D14-F8F1E5530020}"/>
            </a:ext>
          </a:extLst>
        </xdr:cNvPr>
        <xdr:cNvSpPr/>
      </xdr:nvSpPr>
      <xdr:spPr>
        <a:xfrm rot="19207305">
          <a:off x="7524750" y="24276840"/>
          <a:ext cx="916781" cy="916781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382866</xdr:colOff>
      <xdr:row>63</xdr:row>
      <xdr:rowOff>135405</xdr:rowOff>
    </xdr:from>
    <xdr:to>
      <xdr:col>3</xdr:col>
      <xdr:colOff>1033741</xdr:colOff>
      <xdr:row>68</xdr:row>
      <xdr:rowOff>71904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330AFDC1-3327-11D0-82C6-06DD324C9BC0}"/>
            </a:ext>
          </a:extLst>
        </xdr:cNvPr>
        <xdr:cNvSpPr/>
      </xdr:nvSpPr>
      <xdr:spPr>
        <a:xfrm>
          <a:off x="7061572" y="15084052"/>
          <a:ext cx="650875" cy="821764"/>
        </a:xfrm>
        <a:prstGeom prst="up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310492</xdr:colOff>
      <xdr:row>54</xdr:row>
      <xdr:rowOff>102673</xdr:rowOff>
    </xdr:from>
    <xdr:to>
      <xdr:col>5</xdr:col>
      <xdr:colOff>159507</xdr:colOff>
      <xdr:row>57</xdr:row>
      <xdr:rowOff>78891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C70C9BF8-F9B4-0B71-7587-CCE6FC97141C}"/>
            </a:ext>
          </a:extLst>
        </xdr:cNvPr>
        <xdr:cNvSpPr/>
      </xdr:nvSpPr>
      <xdr:spPr>
        <a:xfrm>
          <a:off x="4709310" y="10138559"/>
          <a:ext cx="974697" cy="53040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933450</xdr:colOff>
      <xdr:row>12</xdr:row>
      <xdr:rowOff>28576</xdr:rowOff>
    </xdr:from>
    <xdr:to>
      <xdr:col>33</xdr:col>
      <xdr:colOff>19051</xdr:colOff>
      <xdr:row>17</xdr:row>
      <xdr:rowOff>142876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BE7BAF37-4EF7-3B71-688E-FCADB837081E}"/>
            </a:ext>
          </a:extLst>
        </xdr:cNvPr>
        <xdr:cNvSpPr/>
      </xdr:nvSpPr>
      <xdr:spPr>
        <a:xfrm>
          <a:off x="8248650" y="2457451"/>
          <a:ext cx="1066801" cy="112395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P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opLeftCell="A9" zoomScale="90" zoomScaleNormal="90" zoomScaleSheetLayoutView="100" workbookViewId="0">
      <selection activeCell="A11" sqref="A11"/>
    </sheetView>
  </sheetViews>
  <sheetFormatPr baseColWidth="10" defaultRowHeight="15" x14ac:dyDescent="0.25"/>
  <cols>
    <col min="2" max="2" width="6.5703125" customWidth="1"/>
    <col min="6" max="6" width="6.42578125" customWidth="1"/>
    <col min="8" max="8" width="10.28515625" customWidth="1"/>
    <col min="9" max="9" width="10.42578125" customWidth="1"/>
    <col min="10" max="10" width="12.140625" customWidth="1"/>
    <col min="11" max="11" width="9.5703125" customWidth="1"/>
  </cols>
  <sheetData>
    <row r="1" spans="1:15" x14ac:dyDescent="0.25">
      <c r="A1" s="8" t="s">
        <v>273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 t="s">
        <v>355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6" t="s">
        <v>356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6"/>
      <c r="B4" s="6" t="s">
        <v>357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x14ac:dyDescent="0.25">
      <c r="A5" s="6"/>
      <c r="B5" s="6" t="s">
        <v>358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6"/>
      <c r="B6" s="6" t="s">
        <v>359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8"/>
      <c r="B7" s="6" t="s">
        <v>360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x14ac:dyDescent="0.25">
      <c r="A8" s="6" t="s">
        <v>361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x14ac:dyDescent="0.25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506" t="s">
        <v>52</v>
      </c>
      <c r="M9" s="506"/>
      <c r="N9" s="506"/>
      <c r="O9" s="506"/>
    </row>
    <row r="10" spans="1:15" s="1" customFormat="1" x14ac:dyDescent="0.25">
      <c r="A10" s="7" t="s">
        <v>49</v>
      </c>
      <c r="B10" s="8" t="s">
        <v>50</v>
      </c>
      <c r="C10" s="8" t="s">
        <v>51</v>
      </c>
      <c r="D10" s="8"/>
      <c r="E10" s="8"/>
      <c r="F10" s="8"/>
      <c r="G10" s="8"/>
      <c r="H10" s="8"/>
      <c r="I10" s="8"/>
      <c r="J10" s="8"/>
      <c r="K10" s="8"/>
      <c r="L10" s="5" t="s">
        <v>0</v>
      </c>
      <c r="M10" s="5" t="s">
        <v>1</v>
      </c>
      <c r="N10" s="5" t="s">
        <v>2</v>
      </c>
      <c r="O10" s="5" t="s">
        <v>3</v>
      </c>
    </row>
    <row r="11" spans="1:15" x14ac:dyDescent="0.25">
      <c r="A11" s="9">
        <f>+A30+1</f>
        <v>13</v>
      </c>
      <c r="B11" s="6" t="s">
        <v>10</v>
      </c>
      <c r="C11" s="6" t="s">
        <v>39</v>
      </c>
      <c r="D11" s="6"/>
      <c r="E11" s="6"/>
      <c r="F11" s="6"/>
      <c r="G11" s="6"/>
      <c r="H11" s="6"/>
      <c r="I11" s="6"/>
      <c r="J11" s="6"/>
      <c r="K11" s="6"/>
      <c r="L11" s="2" t="s">
        <v>53</v>
      </c>
      <c r="M11" s="3"/>
      <c r="N11" s="4" t="s">
        <v>53</v>
      </c>
      <c r="O11" s="49"/>
    </row>
    <row r="12" spans="1:15" x14ac:dyDescent="0.25">
      <c r="A12" s="9">
        <f>+A39+1</f>
        <v>15</v>
      </c>
      <c r="B12" s="6" t="s">
        <v>11</v>
      </c>
      <c r="C12" s="6" t="s">
        <v>121</v>
      </c>
      <c r="D12" s="6"/>
      <c r="E12" s="6"/>
      <c r="F12" s="6"/>
      <c r="G12" s="6"/>
      <c r="H12" s="6"/>
      <c r="I12" s="6"/>
      <c r="J12" s="6"/>
      <c r="K12" s="6"/>
      <c r="L12" s="2" t="s">
        <v>53</v>
      </c>
      <c r="M12" s="3"/>
      <c r="N12" s="4"/>
      <c r="O12" s="49"/>
    </row>
    <row r="13" spans="1:15" x14ac:dyDescent="0.25">
      <c r="A13" s="9">
        <f>+A12+1</f>
        <v>16</v>
      </c>
      <c r="B13" s="6" t="s">
        <v>12</v>
      </c>
      <c r="C13" s="6" t="s">
        <v>37</v>
      </c>
      <c r="D13" s="6"/>
      <c r="E13" s="6"/>
      <c r="F13" s="6"/>
      <c r="G13" s="6"/>
      <c r="H13" s="6"/>
      <c r="I13" s="6"/>
      <c r="J13" s="6"/>
      <c r="K13" s="6"/>
      <c r="L13" s="2" t="s">
        <v>53</v>
      </c>
      <c r="M13" s="3"/>
      <c r="N13" s="4" t="s">
        <v>53</v>
      </c>
      <c r="O13" s="49"/>
    </row>
    <row r="14" spans="1:15" x14ac:dyDescent="0.25">
      <c r="A14" s="9">
        <f>+A13+1</f>
        <v>17</v>
      </c>
      <c r="B14" s="6" t="s">
        <v>12</v>
      </c>
      <c r="C14" s="6" t="s">
        <v>38</v>
      </c>
      <c r="D14" s="6"/>
      <c r="E14" s="6"/>
      <c r="F14" s="6"/>
      <c r="G14" s="6"/>
      <c r="H14" s="6"/>
      <c r="I14" s="6"/>
      <c r="J14" s="6"/>
      <c r="K14" s="6"/>
      <c r="L14" s="2" t="s">
        <v>53</v>
      </c>
      <c r="M14" s="3"/>
      <c r="N14" s="4" t="s">
        <v>53</v>
      </c>
      <c r="O14" s="49"/>
    </row>
    <row r="15" spans="1:15" x14ac:dyDescent="0.25">
      <c r="A15" s="9">
        <f>+A31+1</f>
        <v>21</v>
      </c>
      <c r="B15" s="6" t="s">
        <v>14</v>
      </c>
      <c r="C15" s="6" t="s">
        <v>35</v>
      </c>
      <c r="D15" s="6"/>
      <c r="E15" s="6"/>
      <c r="F15" s="6"/>
      <c r="G15" s="6"/>
      <c r="H15" s="6"/>
      <c r="I15" s="6"/>
      <c r="J15" s="6"/>
      <c r="K15" s="6"/>
      <c r="L15" s="2" t="s">
        <v>53</v>
      </c>
      <c r="M15" s="3"/>
      <c r="N15" s="4"/>
      <c r="O15" s="49"/>
    </row>
    <row r="16" spans="1:15" x14ac:dyDescent="0.25">
      <c r="A16" s="9">
        <f>+A15+1</f>
        <v>22</v>
      </c>
      <c r="B16" s="6" t="s">
        <v>14</v>
      </c>
      <c r="C16" s="6" t="s">
        <v>40</v>
      </c>
      <c r="D16" s="6"/>
      <c r="E16" s="6"/>
      <c r="F16" s="6"/>
      <c r="G16" s="6"/>
      <c r="H16" s="6"/>
      <c r="I16" s="6"/>
      <c r="J16" s="6"/>
      <c r="K16" s="6"/>
      <c r="L16" s="2" t="s">
        <v>53</v>
      </c>
      <c r="M16" s="3"/>
      <c r="N16" s="4"/>
      <c r="O16" s="49"/>
    </row>
    <row r="17" spans="1:15" x14ac:dyDescent="0.25">
      <c r="A17" s="9">
        <f>+A34+1</f>
        <v>27</v>
      </c>
      <c r="B17" s="6" t="s">
        <v>16</v>
      </c>
      <c r="C17" s="6" t="s">
        <v>33</v>
      </c>
      <c r="D17" s="6"/>
      <c r="E17" s="6"/>
      <c r="F17" s="6"/>
      <c r="G17" s="6"/>
      <c r="H17" s="6"/>
      <c r="I17" s="6"/>
      <c r="J17" s="6"/>
      <c r="K17" s="6"/>
      <c r="L17" s="2" t="s">
        <v>53</v>
      </c>
      <c r="M17" s="3"/>
      <c r="N17" s="4"/>
      <c r="O17" s="49"/>
    </row>
    <row r="18" spans="1:15" x14ac:dyDescent="0.25">
      <c r="A18" s="9">
        <f>+A21+1</f>
        <v>31</v>
      </c>
      <c r="B18" s="6" t="s">
        <v>7</v>
      </c>
      <c r="C18" s="6" t="s">
        <v>27</v>
      </c>
      <c r="D18" s="6"/>
      <c r="E18" s="6"/>
      <c r="F18" s="6"/>
      <c r="G18" s="6"/>
      <c r="H18" s="6"/>
      <c r="I18" s="6"/>
      <c r="J18" s="6"/>
      <c r="K18" s="6"/>
      <c r="L18" s="2" t="s">
        <v>53</v>
      </c>
      <c r="M18" s="3"/>
      <c r="N18" s="4"/>
      <c r="O18" s="49"/>
    </row>
    <row r="19" spans="1:15" x14ac:dyDescent="0.25">
      <c r="A19" s="9">
        <f>+A27+1</f>
        <v>9</v>
      </c>
      <c r="B19" s="6" t="s">
        <v>8</v>
      </c>
      <c r="C19" s="6" t="s">
        <v>45</v>
      </c>
      <c r="D19" s="6"/>
      <c r="E19" s="6"/>
      <c r="F19" s="6"/>
      <c r="G19" s="6"/>
      <c r="H19" s="6"/>
      <c r="I19" s="6"/>
      <c r="J19" s="6"/>
      <c r="K19" s="6"/>
      <c r="L19" s="2"/>
      <c r="M19" s="3" t="s">
        <v>53</v>
      </c>
      <c r="N19" s="4"/>
      <c r="O19" s="49"/>
    </row>
    <row r="20" spans="1:15" x14ac:dyDescent="0.25">
      <c r="A20" s="9">
        <f>+A32+1</f>
        <v>24</v>
      </c>
      <c r="B20" s="6" t="s">
        <v>15</v>
      </c>
      <c r="C20" s="6" t="s">
        <v>34</v>
      </c>
      <c r="D20" s="6"/>
      <c r="E20" s="6"/>
      <c r="F20" s="6"/>
      <c r="G20" s="6"/>
      <c r="H20" s="6"/>
      <c r="I20" s="6"/>
      <c r="J20" s="6"/>
      <c r="K20" s="6"/>
      <c r="L20" s="2"/>
      <c r="M20" s="3" t="s">
        <v>53</v>
      </c>
      <c r="N20" s="4"/>
      <c r="O20" s="49"/>
    </row>
    <row r="21" spans="1:15" x14ac:dyDescent="0.25">
      <c r="A21" s="9">
        <f>+A36+1</f>
        <v>30</v>
      </c>
      <c r="B21" s="6" t="s">
        <v>19</v>
      </c>
      <c r="C21" s="6" t="s">
        <v>28</v>
      </c>
      <c r="D21" s="6"/>
      <c r="E21" s="6"/>
      <c r="F21" s="6"/>
      <c r="G21" s="6"/>
      <c r="H21" s="6"/>
      <c r="I21" s="6"/>
      <c r="J21" s="6"/>
      <c r="K21" s="6"/>
      <c r="L21" s="2"/>
      <c r="M21" s="3" t="s">
        <v>53</v>
      </c>
      <c r="N21" s="4" t="s">
        <v>53</v>
      </c>
      <c r="O21" s="49"/>
    </row>
    <row r="22" spans="1:15" x14ac:dyDescent="0.25">
      <c r="A22" s="9">
        <f>+A38+1</f>
        <v>3</v>
      </c>
      <c r="B22" s="6" t="s">
        <v>5</v>
      </c>
      <c r="C22" s="6" t="s">
        <v>24</v>
      </c>
      <c r="D22" s="6"/>
      <c r="E22" s="6"/>
      <c r="F22" s="6"/>
      <c r="G22" s="6"/>
      <c r="H22" s="6"/>
      <c r="I22" s="6"/>
      <c r="J22" s="6"/>
      <c r="K22" s="6"/>
      <c r="L22" s="2"/>
      <c r="M22" s="3"/>
      <c r="N22" s="4" t="s">
        <v>53</v>
      </c>
      <c r="O22" s="49"/>
    </row>
    <row r="23" spans="1:15" x14ac:dyDescent="0.25">
      <c r="A23" s="9">
        <f>+A22+1</f>
        <v>4</v>
      </c>
      <c r="B23" s="6" t="s">
        <v>5</v>
      </c>
      <c r="C23" s="6" t="s">
        <v>362</v>
      </c>
      <c r="D23" s="6"/>
      <c r="E23" s="6"/>
      <c r="F23" s="6"/>
      <c r="G23" s="6"/>
      <c r="H23" s="6"/>
      <c r="I23" s="6"/>
      <c r="J23" s="6"/>
      <c r="K23" s="6"/>
      <c r="L23" s="2"/>
      <c r="M23" s="3"/>
      <c r="N23" s="4" t="s">
        <v>53</v>
      </c>
      <c r="O23" s="49"/>
    </row>
    <row r="24" spans="1:15" x14ac:dyDescent="0.25">
      <c r="A24" s="9">
        <f>+A23+1</f>
        <v>5</v>
      </c>
      <c r="B24" s="6" t="s">
        <v>6</v>
      </c>
      <c r="C24" s="6" t="s">
        <v>26</v>
      </c>
      <c r="D24" s="6"/>
      <c r="E24" s="6"/>
      <c r="F24" s="6"/>
      <c r="G24" s="6"/>
      <c r="H24" s="6"/>
      <c r="I24" s="6"/>
      <c r="J24" s="6"/>
      <c r="K24" s="6"/>
      <c r="L24" s="2"/>
      <c r="M24" s="3"/>
      <c r="N24" s="4" t="s">
        <v>53</v>
      </c>
      <c r="O24" s="49"/>
    </row>
    <row r="25" spans="1:15" x14ac:dyDescent="0.25">
      <c r="A25" s="9">
        <f>+A24+1</f>
        <v>6</v>
      </c>
      <c r="B25" s="6" t="s">
        <v>8</v>
      </c>
      <c r="C25" s="6" t="s">
        <v>363</v>
      </c>
      <c r="D25" s="6"/>
      <c r="E25" s="6"/>
      <c r="F25" s="6"/>
      <c r="G25" s="6"/>
      <c r="H25" s="6"/>
      <c r="I25" s="6"/>
      <c r="J25" s="6"/>
      <c r="K25" s="6"/>
      <c r="L25" s="2"/>
      <c r="M25" s="3"/>
      <c r="N25" s="4" t="s">
        <v>53</v>
      </c>
      <c r="O25" s="49"/>
    </row>
    <row r="26" spans="1:15" x14ac:dyDescent="0.25">
      <c r="A26" s="9">
        <f>+A25+1</f>
        <v>7</v>
      </c>
      <c r="B26" s="6" t="s">
        <v>8</v>
      </c>
      <c r="C26" s="6" t="s">
        <v>364</v>
      </c>
      <c r="D26" s="6"/>
      <c r="E26" s="6"/>
      <c r="F26" s="6"/>
      <c r="G26" s="6"/>
      <c r="H26" s="6"/>
      <c r="I26" s="6"/>
      <c r="J26" s="6"/>
      <c r="K26" s="6"/>
      <c r="L26" s="2"/>
      <c r="M26" s="3"/>
      <c r="N26" s="4" t="s">
        <v>53</v>
      </c>
      <c r="O26" s="49"/>
    </row>
    <row r="27" spans="1:15" x14ac:dyDescent="0.25">
      <c r="A27" s="9">
        <f>+A26+1</f>
        <v>8</v>
      </c>
      <c r="B27" s="6" t="s">
        <v>8</v>
      </c>
      <c r="C27" s="6" t="s">
        <v>44</v>
      </c>
      <c r="D27" s="6"/>
      <c r="E27" s="6"/>
      <c r="F27" s="6"/>
      <c r="G27" s="6"/>
      <c r="H27" s="6"/>
      <c r="I27" s="6"/>
      <c r="J27" s="6"/>
      <c r="K27" s="6"/>
      <c r="L27" s="2"/>
      <c r="M27" s="3"/>
      <c r="N27" s="4" t="s">
        <v>53</v>
      </c>
      <c r="O27" s="49"/>
    </row>
    <row r="28" spans="1:15" x14ac:dyDescent="0.25">
      <c r="A28" s="9">
        <f>+A19+1</f>
        <v>10</v>
      </c>
      <c r="B28" s="6" t="s">
        <v>8</v>
      </c>
      <c r="C28" s="6" t="s">
        <v>46</v>
      </c>
      <c r="D28" s="6"/>
      <c r="E28" s="6"/>
      <c r="F28" s="6"/>
      <c r="G28" s="6"/>
      <c r="H28" s="6"/>
      <c r="I28" s="6"/>
      <c r="J28" s="6"/>
      <c r="K28" s="6"/>
      <c r="L28" s="2"/>
      <c r="M28" s="3"/>
      <c r="N28" s="4" t="s">
        <v>53</v>
      </c>
      <c r="O28" s="49"/>
    </row>
    <row r="29" spans="1:15" x14ac:dyDescent="0.25">
      <c r="A29" s="9">
        <f>+A28+1</f>
        <v>11</v>
      </c>
      <c r="B29" s="6" t="s">
        <v>9</v>
      </c>
      <c r="C29" s="6" t="s">
        <v>48</v>
      </c>
      <c r="D29" s="6"/>
      <c r="E29" s="6"/>
      <c r="F29" s="6"/>
      <c r="G29" s="6"/>
      <c r="H29" s="6"/>
      <c r="I29" s="6"/>
      <c r="J29" s="6"/>
      <c r="K29" s="6"/>
      <c r="L29" s="2"/>
      <c r="M29" s="3"/>
      <c r="N29" s="4" t="s">
        <v>53</v>
      </c>
      <c r="O29" s="49"/>
    </row>
    <row r="30" spans="1:15" x14ac:dyDescent="0.25">
      <c r="A30" s="9">
        <f>+A29+1</f>
        <v>12</v>
      </c>
      <c r="B30" s="6" t="s">
        <v>9</v>
      </c>
      <c r="C30" s="6" t="s">
        <v>47</v>
      </c>
      <c r="D30" s="6"/>
      <c r="E30" s="6"/>
      <c r="F30" s="6"/>
      <c r="G30" s="6"/>
      <c r="H30" s="6"/>
      <c r="I30" s="6"/>
      <c r="J30" s="6"/>
      <c r="K30" s="6"/>
      <c r="L30" s="2"/>
      <c r="M30" s="3"/>
      <c r="N30" s="4" t="s">
        <v>53</v>
      </c>
      <c r="O30" s="49"/>
    </row>
    <row r="31" spans="1:15" x14ac:dyDescent="0.25">
      <c r="A31" s="9">
        <f>+A41+1</f>
        <v>20</v>
      </c>
      <c r="B31" s="6" t="s">
        <v>149</v>
      </c>
      <c r="C31" s="6" t="s">
        <v>150</v>
      </c>
      <c r="D31" s="6"/>
      <c r="E31" s="6"/>
      <c r="F31" s="6"/>
      <c r="G31" s="6"/>
      <c r="H31" s="6"/>
      <c r="I31" s="6"/>
      <c r="J31" s="6"/>
      <c r="K31" s="6"/>
      <c r="L31" s="2"/>
      <c r="M31" s="3"/>
      <c r="N31" s="4" t="s">
        <v>53</v>
      </c>
      <c r="O31" s="49" t="s">
        <v>53</v>
      </c>
    </row>
    <row r="32" spans="1:15" x14ac:dyDescent="0.25">
      <c r="A32" s="9">
        <f>+A16+1</f>
        <v>23</v>
      </c>
      <c r="B32" s="6" t="s">
        <v>14</v>
      </c>
      <c r="C32" s="6" t="s">
        <v>41</v>
      </c>
      <c r="D32" s="6"/>
      <c r="E32" s="6"/>
      <c r="F32" s="6"/>
      <c r="G32" s="6"/>
      <c r="H32" s="6"/>
      <c r="I32" s="6"/>
      <c r="J32" s="6"/>
      <c r="K32" s="6"/>
      <c r="L32" s="2"/>
      <c r="M32" s="3"/>
      <c r="N32" s="4" t="s">
        <v>53</v>
      </c>
      <c r="O32" s="49"/>
    </row>
    <row r="33" spans="1:15" x14ac:dyDescent="0.25">
      <c r="A33" s="9">
        <f>+A20+1</f>
        <v>25</v>
      </c>
      <c r="B33" s="6" t="s">
        <v>16</v>
      </c>
      <c r="C33" s="6" t="s">
        <v>31</v>
      </c>
      <c r="D33" s="6"/>
      <c r="E33" s="6"/>
      <c r="F33" s="6"/>
      <c r="G33" s="6"/>
      <c r="H33" s="6"/>
      <c r="I33" s="6"/>
      <c r="J33" s="6"/>
      <c r="K33" s="6"/>
      <c r="L33" s="2"/>
      <c r="M33" s="3"/>
      <c r="N33" s="4" t="s">
        <v>53</v>
      </c>
      <c r="O33" s="49"/>
    </row>
    <row r="34" spans="1:15" x14ac:dyDescent="0.25">
      <c r="A34" s="9">
        <f>+A33+1</f>
        <v>26</v>
      </c>
      <c r="B34" s="6" t="s">
        <v>16</v>
      </c>
      <c r="C34" s="6" t="s">
        <v>32</v>
      </c>
      <c r="D34" s="6"/>
      <c r="E34" s="6"/>
      <c r="F34" s="6"/>
      <c r="G34" s="6"/>
      <c r="H34" s="6"/>
      <c r="I34" s="6"/>
      <c r="J34" s="6"/>
      <c r="K34" s="6"/>
      <c r="L34" s="2"/>
      <c r="M34" s="3"/>
      <c r="N34" s="4" t="s">
        <v>53</v>
      </c>
      <c r="O34" s="49"/>
    </row>
    <row r="35" spans="1:15" x14ac:dyDescent="0.25">
      <c r="A35" s="9">
        <f>+A17+1</f>
        <v>28</v>
      </c>
      <c r="B35" s="6" t="s">
        <v>17</v>
      </c>
      <c r="C35" s="6" t="s">
        <v>30</v>
      </c>
      <c r="D35" s="6"/>
      <c r="E35" s="6"/>
      <c r="F35" s="6"/>
      <c r="G35" s="6"/>
      <c r="H35" s="6"/>
      <c r="I35" s="6"/>
      <c r="J35" s="6"/>
      <c r="K35" s="6"/>
      <c r="L35" s="2"/>
      <c r="M35" s="3"/>
      <c r="N35" s="4" t="s">
        <v>53</v>
      </c>
      <c r="O35" s="49" t="s">
        <v>53</v>
      </c>
    </row>
    <row r="36" spans="1:15" x14ac:dyDescent="0.25">
      <c r="A36" s="9">
        <f>+A35+1</f>
        <v>29</v>
      </c>
      <c r="B36" s="6" t="s">
        <v>18</v>
      </c>
      <c r="C36" s="6" t="s">
        <v>29</v>
      </c>
      <c r="D36" s="6"/>
      <c r="E36" s="6"/>
      <c r="F36" s="6"/>
      <c r="G36" s="6"/>
      <c r="H36" s="6"/>
      <c r="I36" s="6"/>
      <c r="J36" s="6"/>
      <c r="K36" s="6"/>
      <c r="L36" s="2"/>
      <c r="M36" s="3"/>
      <c r="N36" s="4" t="s">
        <v>53</v>
      </c>
      <c r="O36" s="49"/>
    </row>
    <row r="37" spans="1:15" x14ac:dyDescent="0.25">
      <c r="A37" s="9">
        <v>1</v>
      </c>
      <c r="B37" s="6" t="s">
        <v>4</v>
      </c>
      <c r="C37" s="6" t="s">
        <v>20</v>
      </c>
      <c r="D37" s="6"/>
      <c r="E37" s="6"/>
      <c r="F37" s="6"/>
      <c r="G37" s="6"/>
      <c r="H37" s="6"/>
      <c r="I37" s="6"/>
      <c r="J37" s="6"/>
      <c r="K37" s="6"/>
      <c r="L37" s="2"/>
      <c r="M37" s="3"/>
      <c r="N37" s="4"/>
      <c r="O37" s="49" t="s">
        <v>53</v>
      </c>
    </row>
    <row r="38" spans="1:15" x14ac:dyDescent="0.25">
      <c r="A38" s="9">
        <f>+A37+1</f>
        <v>2</v>
      </c>
      <c r="B38" s="6" t="s">
        <v>4</v>
      </c>
      <c r="C38" s="6" t="s">
        <v>21</v>
      </c>
      <c r="D38" s="6"/>
      <c r="E38" s="6"/>
      <c r="F38" s="6"/>
      <c r="G38" s="6"/>
      <c r="H38" s="6"/>
      <c r="I38" s="6"/>
      <c r="J38" s="6"/>
      <c r="K38" s="6"/>
      <c r="L38" s="2"/>
      <c r="M38" s="3"/>
      <c r="N38" s="4"/>
      <c r="O38" s="49" t="s">
        <v>53</v>
      </c>
    </row>
    <row r="39" spans="1:15" x14ac:dyDescent="0.25">
      <c r="A39" s="9">
        <f>+A11+1</f>
        <v>14</v>
      </c>
      <c r="B39" s="6" t="s">
        <v>11</v>
      </c>
      <c r="C39" s="6" t="s">
        <v>23</v>
      </c>
      <c r="D39" s="6"/>
      <c r="E39" s="6"/>
      <c r="F39" s="6"/>
      <c r="G39" s="6"/>
      <c r="H39" s="6"/>
      <c r="I39" s="6"/>
      <c r="J39" s="6"/>
      <c r="K39" s="6"/>
      <c r="L39" s="2"/>
      <c r="M39" s="3"/>
      <c r="N39" s="4"/>
      <c r="O39" s="49" t="s">
        <v>53</v>
      </c>
    </row>
    <row r="40" spans="1:15" x14ac:dyDescent="0.25">
      <c r="A40" s="9">
        <f>+A14+1</f>
        <v>18</v>
      </c>
      <c r="B40" s="6" t="s">
        <v>12</v>
      </c>
      <c r="C40" s="6" t="s">
        <v>22</v>
      </c>
      <c r="D40" s="6"/>
      <c r="E40" s="6"/>
      <c r="F40" s="6"/>
      <c r="G40" s="6"/>
      <c r="H40" s="6"/>
      <c r="I40" s="6"/>
      <c r="J40" s="6"/>
      <c r="K40" s="6"/>
      <c r="L40" s="2"/>
      <c r="M40" s="3"/>
      <c r="N40" s="4"/>
      <c r="O40" s="49" t="s">
        <v>53</v>
      </c>
    </row>
    <row r="41" spans="1:15" x14ac:dyDescent="0.25">
      <c r="A41" s="9">
        <f t="shared" ref="A41" si="0">+A40+1</f>
        <v>19</v>
      </c>
      <c r="B41" s="6" t="s">
        <v>13</v>
      </c>
      <c r="C41" s="6" t="s">
        <v>36</v>
      </c>
      <c r="D41" s="6"/>
      <c r="E41" s="6"/>
      <c r="F41" s="6"/>
      <c r="G41" s="6"/>
      <c r="H41" s="6"/>
      <c r="I41" s="6"/>
      <c r="J41" s="6"/>
      <c r="K41" s="6"/>
      <c r="L41" s="2"/>
      <c r="M41" s="3"/>
      <c r="N41" s="4"/>
      <c r="O41" s="49" t="s">
        <v>53</v>
      </c>
    </row>
  </sheetData>
  <mergeCells count="1">
    <mergeCell ref="L9:O9"/>
  </mergeCells>
  <pageMargins left="0.7" right="0.7" top="0.75" bottom="0.75" header="0.3" footer="0.3"/>
  <pageSetup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8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17" sqref="H17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322</v>
      </c>
      <c r="E1" s="1"/>
      <c r="F1" s="1" t="s">
        <v>321</v>
      </c>
      <c r="G1" s="1"/>
      <c r="H1" s="1" t="s">
        <v>320</v>
      </c>
      <c r="K1" s="1" t="s">
        <v>327</v>
      </c>
      <c r="L1" s="1" t="s">
        <v>328</v>
      </c>
      <c r="M1" s="1" t="s">
        <v>295</v>
      </c>
    </row>
    <row r="2" spans="1:14" x14ac:dyDescent="0.25">
      <c r="A2" s="1" t="s">
        <v>323</v>
      </c>
      <c r="B2" s="1">
        <v>10</v>
      </c>
      <c r="C2" s="1" t="s">
        <v>324</v>
      </c>
      <c r="J2" s="1" t="s">
        <v>329</v>
      </c>
      <c r="K2" s="59">
        <v>900000</v>
      </c>
      <c r="L2" s="59">
        <v>300000</v>
      </c>
      <c r="M2" s="59">
        <f>+K2+L2</f>
        <v>1200000</v>
      </c>
      <c r="N2">
        <v>2014</v>
      </c>
    </row>
    <row r="3" spans="1:14" x14ac:dyDescent="0.25">
      <c r="A3" t="s">
        <v>282</v>
      </c>
      <c r="D3" s="56">
        <v>1000000</v>
      </c>
      <c r="F3" s="56">
        <v>1000000</v>
      </c>
      <c r="H3" s="56">
        <v>1000000</v>
      </c>
      <c r="J3" t="s">
        <v>330</v>
      </c>
      <c r="K3">
        <v>0</v>
      </c>
      <c r="L3" s="56">
        <v>400000</v>
      </c>
      <c r="M3" s="56">
        <f>+K3+L3</f>
        <v>400000</v>
      </c>
      <c r="N3">
        <v>2014</v>
      </c>
    </row>
    <row r="4" spans="1:14" x14ac:dyDescent="0.25">
      <c r="A4" t="s">
        <v>283</v>
      </c>
      <c r="D4" s="56">
        <f>-D3*10%*3</f>
        <v>-300000</v>
      </c>
      <c r="E4" s="59">
        <f>+F4-D4</f>
        <v>-100000</v>
      </c>
      <c r="F4" s="56">
        <f>-F3*10%*4</f>
        <v>-400000</v>
      </c>
      <c r="G4" s="59">
        <f>+H4-F4</f>
        <v>-100000</v>
      </c>
      <c r="H4" s="56">
        <f>-H3*10%*5</f>
        <v>-500000</v>
      </c>
      <c r="J4" s="1" t="s">
        <v>332</v>
      </c>
      <c r="K4" s="59">
        <f t="shared" ref="K4" si="0">SUM(K2:K3)</f>
        <v>900000</v>
      </c>
      <c r="L4" s="59">
        <f>SUM(L2:L3)</f>
        <v>700000</v>
      </c>
      <c r="M4" s="59">
        <f t="shared" ref="M4" si="1">SUM(M2:M3)</f>
        <v>1600000</v>
      </c>
      <c r="N4">
        <v>2014</v>
      </c>
    </row>
    <row r="5" spans="1:14" s="1" customFormat="1" x14ac:dyDescent="0.25">
      <c r="A5" s="1" t="s">
        <v>286</v>
      </c>
      <c r="D5" s="59">
        <f>+D3+D4</f>
        <v>700000</v>
      </c>
      <c r="F5" s="59">
        <f>+F3+F4</f>
        <v>600000</v>
      </c>
      <c r="H5" s="59">
        <f>+H3+H4</f>
        <v>500000</v>
      </c>
      <c r="J5" t="s">
        <v>331</v>
      </c>
      <c r="K5">
        <v>0</v>
      </c>
      <c r="L5" s="56">
        <v>700000</v>
      </c>
      <c r="M5" s="56">
        <f>+K5+L5</f>
        <v>700000</v>
      </c>
      <c r="N5">
        <v>2015</v>
      </c>
    </row>
    <row r="6" spans="1:14" x14ac:dyDescent="0.25">
      <c r="J6" t="s">
        <v>333</v>
      </c>
      <c r="K6">
        <v>0</v>
      </c>
      <c r="L6" s="56">
        <f>+-G17</f>
        <v>-100000</v>
      </c>
      <c r="M6" s="56">
        <f>+K6+L6</f>
        <v>-100000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324</v>
      </c>
      <c r="J7" s="1" t="s">
        <v>332</v>
      </c>
      <c r="K7" s="59">
        <f>+K4+K5+K6</f>
        <v>900000</v>
      </c>
      <c r="L7" s="59">
        <f t="shared" ref="L7:M7" si="2">+L4+L5+L6</f>
        <v>1300000</v>
      </c>
      <c r="M7" s="59">
        <f t="shared" si="2"/>
        <v>2200000</v>
      </c>
      <c r="N7">
        <v>2015</v>
      </c>
    </row>
    <row r="8" spans="1:14" x14ac:dyDescent="0.25">
      <c r="A8" t="s">
        <v>282</v>
      </c>
      <c r="D8" s="56">
        <v>1000000</v>
      </c>
      <c r="F8" s="56">
        <v>1000000</v>
      </c>
      <c r="H8" s="56">
        <v>1000000</v>
      </c>
    </row>
    <row r="9" spans="1:14" x14ac:dyDescent="0.25">
      <c r="A9" t="s">
        <v>283</v>
      </c>
      <c r="D9" s="56">
        <f>-D8*12.5%*3</f>
        <v>-375000</v>
      </c>
      <c r="E9" s="59">
        <f>+F9-D9</f>
        <v>-125000</v>
      </c>
      <c r="F9" s="56">
        <f>-F8*12.5%*4</f>
        <v>-500000</v>
      </c>
      <c r="G9" s="59">
        <f>+H9-F9</f>
        <v>-125000</v>
      </c>
      <c r="H9" s="56">
        <f>-H8*12.5%*5</f>
        <v>-625000</v>
      </c>
      <c r="K9" s="1" t="s">
        <v>327</v>
      </c>
      <c r="L9" s="1" t="s">
        <v>328</v>
      </c>
      <c r="M9" s="1" t="s">
        <v>295</v>
      </c>
    </row>
    <row r="10" spans="1:14" s="1" customFormat="1" x14ac:dyDescent="0.25">
      <c r="A10" s="1" t="s">
        <v>286</v>
      </c>
      <c r="D10" s="59">
        <f>+D8+D9</f>
        <v>625000</v>
      </c>
      <c r="F10" s="59">
        <f>+F8+F9</f>
        <v>500000</v>
      </c>
      <c r="H10" s="59">
        <f>+H8+H9</f>
        <v>375000</v>
      </c>
      <c r="J10" s="1" t="s">
        <v>329</v>
      </c>
      <c r="K10" s="59">
        <v>900000</v>
      </c>
      <c r="L10" s="59">
        <f>+L2-C17</f>
        <v>225000</v>
      </c>
      <c r="M10" s="59">
        <f>+K10+L10</f>
        <v>1125000</v>
      </c>
      <c r="N10"/>
    </row>
    <row r="11" spans="1:14" x14ac:dyDescent="0.25">
      <c r="J11" t="s">
        <v>330</v>
      </c>
      <c r="K11">
        <v>0</v>
      </c>
      <c r="L11" s="56">
        <f>+L3-E16</f>
        <v>375000</v>
      </c>
      <c r="M11" s="56">
        <f>+K11+L11</f>
        <v>375000</v>
      </c>
    </row>
    <row r="12" spans="1:14" x14ac:dyDescent="0.25">
      <c r="A12" s="1" t="s">
        <v>288</v>
      </c>
      <c r="D12" s="59">
        <f>+D5-D10</f>
        <v>75000</v>
      </c>
      <c r="F12" s="59">
        <f>+F5-F10</f>
        <v>100000</v>
      </c>
      <c r="H12" s="59">
        <f>+H5-H10</f>
        <v>125000</v>
      </c>
      <c r="J12" s="1" t="s">
        <v>332</v>
      </c>
      <c r="K12" s="59">
        <f t="shared" ref="K12:L12" si="3">+K10+K11</f>
        <v>900000</v>
      </c>
      <c r="L12" s="59">
        <f t="shared" si="3"/>
        <v>600000</v>
      </c>
      <c r="M12" s="59">
        <f>+M10+M11</f>
        <v>1500000</v>
      </c>
    </row>
    <row r="13" spans="1:14" x14ac:dyDescent="0.25">
      <c r="J13" t="s">
        <v>331</v>
      </c>
      <c r="K13">
        <v>0</v>
      </c>
      <c r="L13" s="56">
        <v>700000</v>
      </c>
      <c r="M13" s="56">
        <f>+K13+L13</f>
        <v>700000</v>
      </c>
    </row>
    <row r="14" spans="1:14" x14ac:dyDescent="0.25">
      <c r="C14" s="72" t="s">
        <v>57</v>
      </c>
      <c r="D14" s="72" t="s">
        <v>58</v>
      </c>
      <c r="E14" s="75" t="s">
        <v>57</v>
      </c>
      <c r="F14" s="75" t="s">
        <v>58</v>
      </c>
      <c r="G14" s="67" t="s">
        <v>57</v>
      </c>
      <c r="H14" s="67" t="s">
        <v>58</v>
      </c>
      <c r="J14" t="s">
        <v>333</v>
      </c>
      <c r="K14">
        <v>0</v>
      </c>
      <c r="L14" s="56" t="str">
        <f>+G25</f>
        <v>DEBE</v>
      </c>
      <c r="M14" s="56" t="e">
        <f>+K14+L14</f>
        <v>#VALUE!</v>
      </c>
    </row>
    <row r="15" spans="1:14" x14ac:dyDescent="0.25">
      <c r="A15" s="1" t="s">
        <v>289</v>
      </c>
      <c r="C15" s="73"/>
      <c r="D15" s="70">
        <f>-D9+D4</f>
        <v>75000</v>
      </c>
      <c r="E15" s="76"/>
      <c r="F15" s="77">
        <f>-F9+F4</f>
        <v>100000</v>
      </c>
      <c r="G15" s="68"/>
      <c r="H15" s="69">
        <f>-(H9-H4)</f>
        <v>125000</v>
      </c>
      <c r="J15" s="1" t="s">
        <v>332</v>
      </c>
      <c r="K15" s="59">
        <f>+K12+K13+K14</f>
        <v>900000</v>
      </c>
      <c r="L15" s="59" t="e">
        <f t="shared" ref="L15" si="4">+L12+L13+L14</f>
        <v>#VALUE!</v>
      </c>
      <c r="M15" s="59" t="e">
        <f t="shared" ref="M15" si="5">+M12+M13+M14</f>
        <v>#VALUE!</v>
      </c>
    </row>
    <row r="16" spans="1:14" x14ac:dyDescent="0.25">
      <c r="A16" s="1" t="s">
        <v>325</v>
      </c>
      <c r="C16" s="73">
        <v>0</v>
      </c>
      <c r="D16" s="73"/>
      <c r="E16" s="78">
        <f>-E9+E4</f>
        <v>25000</v>
      </c>
      <c r="F16" s="76"/>
      <c r="G16" s="69">
        <f>-G9+G4</f>
        <v>25000</v>
      </c>
      <c r="H16" s="68"/>
    </row>
    <row r="17" spans="1:8" x14ac:dyDescent="0.25">
      <c r="A17" s="1" t="s">
        <v>326</v>
      </c>
      <c r="C17" s="74">
        <f>+D15</f>
        <v>75000</v>
      </c>
      <c r="D17" s="72"/>
      <c r="E17" s="78">
        <f>+F15-E16</f>
        <v>75000</v>
      </c>
      <c r="F17" s="76"/>
      <c r="G17" s="71">
        <f>+H15-G16</f>
        <v>100000</v>
      </c>
      <c r="H17" s="68"/>
    </row>
    <row r="19" spans="1:8" x14ac:dyDescent="0.25">
      <c r="A19" s="1" t="s">
        <v>314</v>
      </c>
      <c r="D19" s="56">
        <f>D10</f>
        <v>625000</v>
      </c>
      <c r="F19" s="56">
        <f>F10</f>
        <v>500000</v>
      </c>
      <c r="H19" s="56">
        <f>H10</f>
        <v>375000</v>
      </c>
    </row>
    <row r="20" spans="1:8" x14ac:dyDescent="0.25">
      <c r="A20" s="1" t="s">
        <v>313</v>
      </c>
      <c r="D20" s="56">
        <f>D5</f>
        <v>700000</v>
      </c>
      <c r="F20" s="56">
        <f>F5</f>
        <v>600000</v>
      </c>
      <c r="H20" s="56">
        <f>H5</f>
        <v>500000</v>
      </c>
    </row>
    <row r="21" spans="1:8" x14ac:dyDescent="0.25">
      <c r="A21" s="1" t="s">
        <v>315</v>
      </c>
      <c r="D21" s="56">
        <f>D20-D19</f>
        <v>75000</v>
      </c>
      <c r="F21" s="56">
        <f>F20-F19</f>
        <v>100000</v>
      </c>
      <c r="H21" s="56">
        <f>H20-H19</f>
        <v>125000</v>
      </c>
    </row>
    <row r="22" spans="1:8" x14ac:dyDescent="0.25">
      <c r="A22" s="1" t="s">
        <v>349</v>
      </c>
      <c r="B22" s="1"/>
      <c r="C22" s="1"/>
      <c r="D22" s="59">
        <f>+D21*30%</f>
        <v>22500</v>
      </c>
      <c r="E22" s="1"/>
      <c r="F22" s="59">
        <f>+F21*30%</f>
        <v>30000</v>
      </c>
      <c r="G22" s="1"/>
      <c r="H22" s="59">
        <f>+H21*30%</f>
        <v>37500</v>
      </c>
    </row>
    <row r="25" spans="1:8" x14ac:dyDescent="0.25">
      <c r="C25" s="72" t="s">
        <v>57</v>
      </c>
      <c r="D25" s="72" t="s">
        <v>58</v>
      </c>
      <c r="E25" s="75" t="s">
        <v>57</v>
      </c>
      <c r="F25" s="75" t="s">
        <v>58</v>
      </c>
      <c r="G25" s="67" t="s">
        <v>57</v>
      </c>
      <c r="H25" s="67" t="s">
        <v>58</v>
      </c>
    </row>
    <row r="26" spans="1:8" x14ac:dyDescent="0.25">
      <c r="A26" s="1" t="s">
        <v>350</v>
      </c>
      <c r="C26" s="74">
        <f>D22</f>
        <v>22500</v>
      </c>
      <c r="D26" s="74"/>
      <c r="E26" s="77">
        <f>F22</f>
        <v>30000</v>
      </c>
      <c r="F26" s="77"/>
      <c r="G26" s="69">
        <f>+H22</f>
        <v>37500</v>
      </c>
      <c r="H26" s="69"/>
    </row>
    <row r="27" spans="1:8" x14ac:dyDescent="0.25">
      <c r="A27" s="1" t="s">
        <v>351</v>
      </c>
      <c r="C27" s="72"/>
      <c r="D27" s="72"/>
      <c r="E27" s="78"/>
      <c r="F27" s="77">
        <f>+E26-F28</f>
        <v>7500</v>
      </c>
      <c r="G27" s="69"/>
      <c r="H27" s="69">
        <f>+G26-H28</f>
        <v>7500</v>
      </c>
    </row>
    <row r="28" spans="1:8" x14ac:dyDescent="0.25">
      <c r="A28" s="1" t="s">
        <v>326</v>
      </c>
      <c r="C28" s="74"/>
      <c r="D28" s="74">
        <f>C26</f>
        <v>22500</v>
      </c>
      <c r="E28" s="78"/>
      <c r="F28" s="77">
        <f>+D28</f>
        <v>22500</v>
      </c>
      <c r="G28" s="71"/>
      <c r="H28" s="69">
        <f>+F28+F27</f>
        <v>30000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8"/>
  <sheetViews>
    <sheetView zoomScale="170" zoomScaleNormal="170" workbookViewId="0">
      <selection activeCell="E1" sqref="E1"/>
    </sheetView>
  </sheetViews>
  <sheetFormatPr baseColWidth="10" defaultRowHeight="15" x14ac:dyDescent="0.25"/>
  <sheetData>
    <row r="1" spans="1:5" x14ac:dyDescent="0.25">
      <c r="A1" t="s">
        <v>277</v>
      </c>
      <c r="B1" s="56">
        <v>100000</v>
      </c>
      <c r="D1" t="s">
        <v>277</v>
      </c>
      <c r="E1" s="56">
        <f ca="1">SUMIF(A:B,D1,B:B)</f>
        <v>4000000</v>
      </c>
    </row>
    <row r="2" spans="1:5" x14ac:dyDescent="0.25">
      <c r="A2" t="s">
        <v>278</v>
      </c>
      <c r="B2" s="56">
        <v>120000</v>
      </c>
      <c r="D2" t="s">
        <v>278</v>
      </c>
      <c r="E2" s="56">
        <f ca="1">SUMIF(A:B,D2,B:B)</f>
        <v>7680000</v>
      </c>
    </row>
    <row r="3" spans="1:5" x14ac:dyDescent="0.25">
      <c r="A3" t="s">
        <v>279</v>
      </c>
      <c r="B3" s="56">
        <v>30000</v>
      </c>
      <c r="D3" t="s">
        <v>279</v>
      </c>
      <c r="E3" s="56">
        <f ca="1">SUMIF(A:B,D3,B:B)</f>
        <v>1920000</v>
      </c>
    </row>
    <row r="4" spans="1:5" x14ac:dyDescent="0.25">
      <c r="A4" t="s">
        <v>277</v>
      </c>
      <c r="B4" s="56">
        <v>100000</v>
      </c>
      <c r="E4" s="56">
        <f ca="1">SUM(E1:E3)</f>
        <v>13600000</v>
      </c>
    </row>
    <row r="5" spans="1:5" x14ac:dyDescent="0.25">
      <c r="A5" t="s">
        <v>278</v>
      </c>
      <c r="B5" s="56">
        <v>120000</v>
      </c>
    </row>
    <row r="6" spans="1:5" x14ac:dyDescent="0.25">
      <c r="A6" t="s">
        <v>279</v>
      </c>
      <c r="B6" s="56">
        <v>30000</v>
      </c>
    </row>
    <row r="7" spans="1:5" x14ac:dyDescent="0.25">
      <c r="A7" t="s">
        <v>278</v>
      </c>
      <c r="B7" s="56">
        <v>120000</v>
      </c>
    </row>
    <row r="8" spans="1:5" x14ac:dyDescent="0.25">
      <c r="A8" t="s">
        <v>279</v>
      </c>
      <c r="B8" s="56">
        <v>30000</v>
      </c>
    </row>
    <row r="9" spans="1:5" x14ac:dyDescent="0.25">
      <c r="A9" t="s">
        <v>277</v>
      </c>
      <c r="B9" s="56">
        <v>100000</v>
      </c>
    </row>
    <row r="10" spans="1:5" x14ac:dyDescent="0.25">
      <c r="A10" t="s">
        <v>278</v>
      </c>
      <c r="B10" s="56">
        <v>120000</v>
      </c>
    </row>
    <row r="11" spans="1:5" x14ac:dyDescent="0.25">
      <c r="A11" t="s">
        <v>279</v>
      </c>
      <c r="B11" s="56">
        <v>30000</v>
      </c>
    </row>
    <row r="12" spans="1:5" x14ac:dyDescent="0.25">
      <c r="A12" t="s">
        <v>278</v>
      </c>
      <c r="B12" s="56">
        <v>120000</v>
      </c>
    </row>
    <row r="13" spans="1:5" x14ac:dyDescent="0.25">
      <c r="A13" t="s">
        <v>279</v>
      </c>
      <c r="B13" s="56">
        <v>30000</v>
      </c>
    </row>
    <row r="14" spans="1:5" x14ac:dyDescent="0.25">
      <c r="A14" t="s">
        <v>277</v>
      </c>
      <c r="B14" s="56">
        <v>100000</v>
      </c>
    </row>
    <row r="15" spans="1:5" x14ac:dyDescent="0.25">
      <c r="A15" t="s">
        <v>278</v>
      </c>
      <c r="B15" s="56">
        <v>120000</v>
      </c>
    </row>
    <row r="16" spans="1:5" x14ac:dyDescent="0.25">
      <c r="A16" t="s">
        <v>279</v>
      </c>
      <c r="B16" s="56">
        <v>30000</v>
      </c>
    </row>
    <row r="17" spans="1:2" x14ac:dyDescent="0.25">
      <c r="A17" t="s">
        <v>278</v>
      </c>
      <c r="B17" s="56">
        <v>120000</v>
      </c>
    </row>
    <row r="18" spans="1:2" x14ac:dyDescent="0.25">
      <c r="A18" t="s">
        <v>279</v>
      </c>
      <c r="B18" s="56">
        <v>30000</v>
      </c>
    </row>
    <row r="19" spans="1:2" x14ac:dyDescent="0.25">
      <c r="A19" t="s">
        <v>277</v>
      </c>
      <c r="B19" s="56">
        <v>100000</v>
      </c>
    </row>
    <row r="20" spans="1:2" x14ac:dyDescent="0.25">
      <c r="A20" t="s">
        <v>278</v>
      </c>
      <c r="B20" s="56">
        <v>120000</v>
      </c>
    </row>
    <row r="21" spans="1:2" x14ac:dyDescent="0.25">
      <c r="A21" t="s">
        <v>279</v>
      </c>
      <c r="B21" s="56">
        <v>30000</v>
      </c>
    </row>
    <row r="22" spans="1:2" x14ac:dyDescent="0.25">
      <c r="A22" t="s">
        <v>277</v>
      </c>
      <c r="B22" s="56">
        <v>100000</v>
      </c>
    </row>
    <row r="23" spans="1:2" x14ac:dyDescent="0.25">
      <c r="A23" t="s">
        <v>278</v>
      </c>
      <c r="B23" s="56">
        <v>120000</v>
      </c>
    </row>
    <row r="24" spans="1:2" x14ac:dyDescent="0.25">
      <c r="A24" t="s">
        <v>279</v>
      </c>
      <c r="B24" s="56">
        <v>30000</v>
      </c>
    </row>
    <row r="25" spans="1:2" x14ac:dyDescent="0.25">
      <c r="A25" t="s">
        <v>277</v>
      </c>
      <c r="B25" s="56">
        <v>100000</v>
      </c>
    </row>
    <row r="26" spans="1:2" x14ac:dyDescent="0.25">
      <c r="A26" t="s">
        <v>278</v>
      </c>
      <c r="B26" s="56">
        <v>120000</v>
      </c>
    </row>
    <row r="27" spans="1:2" x14ac:dyDescent="0.25">
      <c r="A27" t="s">
        <v>279</v>
      </c>
      <c r="B27" s="56">
        <v>30000</v>
      </c>
    </row>
    <row r="28" spans="1:2" x14ac:dyDescent="0.25">
      <c r="A28" t="s">
        <v>278</v>
      </c>
      <c r="B28" s="56">
        <v>120000</v>
      </c>
    </row>
    <row r="29" spans="1:2" x14ac:dyDescent="0.25">
      <c r="A29" t="s">
        <v>279</v>
      </c>
      <c r="B29" s="56">
        <v>30000</v>
      </c>
    </row>
    <row r="30" spans="1:2" x14ac:dyDescent="0.25">
      <c r="A30" t="s">
        <v>277</v>
      </c>
      <c r="B30" s="56">
        <v>100000</v>
      </c>
    </row>
    <row r="31" spans="1:2" x14ac:dyDescent="0.25">
      <c r="A31" t="s">
        <v>278</v>
      </c>
      <c r="B31" s="56">
        <v>120000</v>
      </c>
    </row>
    <row r="32" spans="1:2" x14ac:dyDescent="0.25">
      <c r="A32" t="s">
        <v>279</v>
      </c>
      <c r="B32" s="56">
        <v>30000</v>
      </c>
    </row>
    <row r="33" spans="1:2" x14ac:dyDescent="0.25">
      <c r="A33" t="s">
        <v>278</v>
      </c>
      <c r="B33" s="56">
        <v>120000</v>
      </c>
    </row>
    <row r="34" spans="1:2" x14ac:dyDescent="0.25">
      <c r="A34" t="s">
        <v>279</v>
      </c>
      <c r="B34" s="56">
        <v>30000</v>
      </c>
    </row>
    <row r="35" spans="1:2" x14ac:dyDescent="0.25">
      <c r="A35" t="s">
        <v>277</v>
      </c>
      <c r="B35" s="56">
        <v>100000</v>
      </c>
    </row>
    <row r="36" spans="1:2" x14ac:dyDescent="0.25">
      <c r="A36" t="s">
        <v>278</v>
      </c>
      <c r="B36" s="56">
        <v>120000</v>
      </c>
    </row>
    <row r="37" spans="1:2" x14ac:dyDescent="0.25">
      <c r="A37" t="s">
        <v>279</v>
      </c>
      <c r="B37" s="56">
        <v>30000</v>
      </c>
    </row>
    <row r="38" spans="1:2" x14ac:dyDescent="0.25">
      <c r="A38" t="s">
        <v>278</v>
      </c>
      <c r="B38" s="56">
        <v>120000</v>
      </c>
    </row>
    <row r="39" spans="1:2" x14ac:dyDescent="0.25">
      <c r="A39" t="s">
        <v>279</v>
      </c>
      <c r="B39" s="56">
        <v>30000</v>
      </c>
    </row>
    <row r="40" spans="1:2" x14ac:dyDescent="0.25">
      <c r="A40" t="s">
        <v>277</v>
      </c>
      <c r="B40" s="56">
        <v>100000</v>
      </c>
    </row>
    <row r="41" spans="1:2" x14ac:dyDescent="0.25">
      <c r="A41" t="s">
        <v>278</v>
      </c>
      <c r="B41" s="56">
        <v>120000</v>
      </c>
    </row>
    <row r="42" spans="1:2" x14ac:dyDescent="0.25">
      <c r="A42" t="s">
        <v>279</v>
      </c>
      <c r="B42" s="56">
        <v>30000</v>
      </c>
    </row>
    <row r="43" spans="1:2" x14ac:dyDescent="0.25">
      <c r="A43" t="s">
        <v>277</v>
      </c>
      <c r="B43" s="56">
        <v>100000</v>
      </c>
    </row>
    <row r="44" spans="1:2" x14ac:dyDescent="0.25">
      <c r="A44" t="s">
        <v>278</v>
      </c>
      <c r="B44" s="56">
        <v>120000</v>
      </c>
    </row>
    <row r="45" spans="1:2" x14ac:dyDescent="0.25">
      <c r="A45" t="s">
        <v>279</v>
      </c>
      <c r="B45" s="56">
        <v>30000</v>
      </c>
    </row>
    <row r="46" spans="1:2" x14ac:dyDescent="0.25">
      <c r="A46" t="s">
        <v>277</v>
      </c>
      <c r="B46" s="56">
        <v>100000</v>
      </c>
    </row>
    <row r="47" spans="1:2" x14ac:dyDescent="0.25">
      <c r="A47" t="s">
        <v>278</v>
      </c>
      <c r="B47" s="56">
        <v>120000</v>
      </c>
    </row>
    <row r="48" spans="1:2" x14ac:dyDescent="0.25">
      <c r="A48" t="s">
        <v>279</v>
      </c>
      <c r="B48" s="56">
        <v>30000</v>
      </c>
    </row>
    <row r="49" spans="1:2" x14ac:dyDescent="0.25">
      <c r="A49" t="s">
        <v>278</v>
      </c>
      <c r="B49" s="56">
        <v>120000</v>
      </c>
    </row>
    <row r="50" spans="1:2" x14ac:dyDescent="0.25">
      <c r="A50" t="s">
        <v>279</v>
      </c>
      <c r="B50" s="56">
        <v>30000</v>
      </c>
    </row>
    <row r="51" spans="1:2" x14ac:dyDescent="0.25">
      <c r="A51" t="s">
        <v>277</v>
      </c>
      <c r="B51" s="56">
        <v>100000</v>
      </c>
    </row>
    <row r="52" spans="1:2" x14ac:dyDescent="0.25">
      <c r="A52" t="s">
        <v>278</v>
      </c>
      <c r="B52" s="56">
        <v>120000</v>
      </c>
    </row>
    <row r="53" spans="1:2" x14ac:dyDescent="0.25">
      <c r="A53" t="s">
        <v>279</v>
      </c>
      <c r="B53" s="56">
        <v>30000</v>
      </c>
    </row>
    <row r="54" spans="1:2" x14ac:dyDescent="0.25">
      <c r="A54" t="s">
        <v>278</v>
      </c>
      <c r="B54" s="56">
        <v>120000</v>
      </c>
    </row>
    <row r="55" spans="1:2" x14ac:dyDescent="0.25">
      <c r="A55" t="s">
        <v>279</v>
      </c>
      <c r="B55" s="56">
        <v>30000</v>
      </c>
    </row>
    <row r="56" spans="1:2" x14ac:dyDescent="0.25">
      <c r="A56" t="s">
        <v>277</v>
      </c>
      <c r="B56" s="56">
        <v>100000</v>
      </c>
    </row>
    <row r="57" spans="1:2" x14ac:dyDescent="0.25">
      <c r="A57" t="s">
        <v>278</v>
      </c>
      <c r="B57" s="56">
        <v>120000</v>
      </c>
    </row>
    <row r="58" spans="1:2" x14ac:dyDescent="0.25">
      <c r="A58" t="s">
        <v>279</v>
      </c>
      <c r="B58" s="56">
        <v>30000</v>
      </c>
    </row>
    <row r="59" spans="1:2" x14ac:dyDescent="0.25">
      <c r="A59" t="s">
        <v>278</v>
      </c>
      <c r="B59" s="56">
        <v>120000</v>
      </c>
    </row>
    <row r="60" spans="1:2" x14ac:dyDescent="0.25">
      <c r="A60" t="s">
        <v>279</v>
      </c>
      <c r="B60" s="56">
        <v>30000</v>
      </c>
    </row>
    <row r="61" spans="1:2" x14ac:dyDescent="0.25">
      <c r="A61" t="s">
        <v>277</v>
      </c>
      <c r="B61" s="56">
        <v>100000</v>
      </c>
    </row>
    <row r="62" spans="1:2" x14ac:dyDescent="0.25">
      <c r="A62" t="s">
        <v>278</v>
      </c>
      <c r="B62" s="56">
        <v>120000</v>
      </c>
    </row>
    <row r="63" spans="1:2" x14ac:dyDescent="0.25">
      <c r="A63" t="s">
        <v>279</v>
      </c>
      <c r="B63" s="56">
        <v>30000</v>
      </c>
    </row>
    <row r="64" spans="1:2" x14ac:dyDescent="0.25">
      <c r="A64" t="s">
        <v>277</v>
      </c>
      <c r="B64" s="56">
        <v>100000</v>
      </c>
    </row>
    <row r="65" spans="1:2" x14ac:dyDescent="0.25">
      <c r="A65" t="s">
        <v>278</v>
      </c>
      <c r="B65" s="56">
        <v>120000</v>
      </c>
    </row>
    <row r="66" spans="1:2" x14ac:dyDescent="0.25">
      <c r="A66" t="s">
        <v>279</v>
      </c>
      <c r="B66" s="56">
        <v>30000</v>
      </c>
    </row>
    <row r="67" spans="1:2" x14ac:dyDescent="0.25">
      <c r="A67" t="s">
        <v>277</v>
      </c>
      <c r="B67" s="56">
        <v>100000</v>
      </c>
    </row>
    <row r="68" spans="1:2" x14ac:dyDescent="0.25">
      <c r="A68" t="s">
        <v>278</v>
      </c>
      <c r="B68" s="56">
        <v>120000</v>
      </c>
    </row>
    <row r="69" spans="1:2" x14ac:dyDescent="0.25">
      <c r="A69" t="s">
        <v>279</v>
      </c>
      <c r="B69" s="56">
        <v>30000</v>
      </c>
    </row>
    <row r="70" spans="1:2" x14ac:dyDescent="0.25">
      <c r="A70" t="s">
        <v>278</v>
      </c>
      <c r="B70" s="56">
        <v>120000</v>
      </c>
    </row>
    <row r="71" spans="1:2" x14ac:dyDescent="0.25">
      <c r="A71" t="s">
        <v>279</v>
      </c>
      <c r="B71" s="56">
        <v>30000</v>
      </c>
    </row>
    <row r="72" spans="1:2" x14ac:dyDescent="0.25">
      <c r="A72" t="s">
        <v>277</v>
      </c>
      <c r="B72" s="56">
        <v>100000</v>
      </c>
    </row>
    <row r="73" spans="1:2" x14ac:dyDescent="0.25">
      <c r="A73" t="s">
        <v>278</v>
      </c>
      <c r="B73" s="56">
        <v>120000</v>
      </c>
    </row>
    <row r="74" spans="1:2" x14ac:dyDescent="0.25">
      <c r="A74" t="s">
        <v>279</v>
      </c>
      <c r="B74" s="56">
        <v>30000</v>
      </c>
    </row>
    <row r="75" spans="1:2" x14ac:dyDescent="0.25">
      <c r="A75" t="s">
        <v>278</v>
      </c>
      <c r="B75" s="56">
        <v>120000</v>
      </c>
    </row>
    <row r="76" spans="1:2" x14ac:dyDescent="0.25">
      <c r="A76" t="s">
        <v>279</v>
      </c>
      <c r="B76" s="56">
        <v>30000</v>
      </c>
    </row>
    <row r="77" spans="1:2" x14ac:dyDescent="0.25">
      <c r="A77" t="s">
        <v>277</v>
      </c>
      <c r="B77" s="56">
        <v>100000</v>
      </c>
    </row>
    <row r="78" spans="1:2" x14ac:dyDescent="0.25">
      <c r="A78" t="s">
        <v>278</v>
      </c>
      <c r="B78" s="56">
        <v>120000</v>
      </c>
    </row>
    <row r="79" spans="1:2" x14ac:dyDescent="0.25">
      <c r="A79" t="s">
        <v>279</v>
      </c>
      <c r="B79" s="56">
        <v>30000</v>
      </c>
    </row>
    <row r="80" spans="1:2" x14ac:dyDescent="0.25">
      <c r="A80" t="s">
        <v>278</v>
      </c>
      <c r="B80" s="56">
        <v>120000</v>
      </c>
    </row>
    <row r="81" spans="1:2" x14ac:dyDescent="0.25">
      <c r="A81" t="s">
        <v>279</v>
      </c>
      <c r="B81" s="56">
        <v>30000</v>
      </c>
    </row>
    <row r="82" spans="1:2" x14ac:dyDescent="0.25">
      <c r="A82" t="s">
        <v>277</v>
      </c>
      <c r="B82" s="56">
        <v>100000</v>
      </c>
    </row>
    <row r="83" spans="1:2" x14ac:dyDescent="0.25">
      <c r="A83" t="s">
        <v>278</v>
      </c>
      <c r="B83" s="56">
        <v>120000</v>
      </c>
    </row>
    <row r="84" spans="1:2" x14ac:dyDescent="0.25">
      <c r="A84" t="s">
        <v>279</v>
      </c>
      <c r="B84" s="56">
        <v>30000</v>
      </c>
    </row>
    <row r="85" spans="1:2" x14ac:dyDescent="0.25">
      <c r="A85" t="s">
        <v>277</v>
      </c>
      <c r="B85" s="56">
        <v>100000</v>
      </c>
    </row>
    <row r="86" spans="1:2" x14ac:dyDescent="0.25">
      <c r="A86" t="s">
        <v>278</v>
      </c>
      <c r="B86" s="56">
        <v>120000</v>
      </c>
    </row>
    <row r="87" spans="1:2" x14ac:dyDescent="0.25">
      <c r="A87" t="s">
        <v>279</v>
      </c>
      <c r="B87" s="56">
        <v>30000</v>
      </c>
    </row>
    <row r="88" spans="1:2" x14ac:dyDescent="0.25">
      <c r="A88" t="s">
        <v>277</v>
      </c>
      <c r="B88" s="56">
        <v>100000</v>
      </c>
    </row>
    <row r="89" spans="1:2" x14ac:dyDescent="0.25">
      <c r="A89" t="s">
        <v>278</v>
      </c>
      <c r="B89" s="56">
        <v>120000</v>
      </c>
    </row>
    <row r="90" spans="1:2" x14ac:dyDescent="0.25">
      <c r="A90" t="s">
        <v>279</v>
      </c>
      <c r="B90" s="56">
        <v>30000</v>
      </c>
    </row>
    <row r="91" spans="1:2" x14ac:dyDescent="0.25">
      <c r="A91" t="s">
        <v>278</v>
      </c>
      <c r="B91" s="56">
        <v>120000</v>
      </c>
    </row>
    <row r="92" spans="1:2" x14ac:dyDescent="0.25">
      <c r="A92" t="s">
        <v>279</v>
      </c>
      <c r="B92" s="56">
        <v>30000</v>
      </c>
    </row>
    <row r="93" spans="1:2" x14ac:dyDescent="0.25">
      <c r="A93" t="s">
        <v>277</v>
      </c>
      <c r="B93" s="56">
        <v>100000</v>
      </c>
    </row>
    <row r="94" spans="1:2" x14ac:dyDescent="0.25">
      <c r="A94" t="s">
        <v>278</v>
      </c>
      <c r="B94" s="56">
        <v>120000</v>
      </c>
    </row>
    <row r="95" spans="1:2" x14ac:dyDescent="0.25">
      <c r="A95" t="s">
        <v>279</v>
      </c>
      <c r="B95" s="56">
        <v>30000</v>
      </c>
    </row>
    <row r="96" spans="1:2" x14ac:dyDescent="0.25">
      <c r="A96" t="s">
        <v>278</v>
      </c>
      <c r="B96" s="56">
        <v>120000</v>
      </c>
    </row>
    <row r="97" spans="1:2" x14ac:dyDescent="0.25">
      <c r="A97" t="s">
        <v>279</v>
      </c>
      <c r="B97" s="56">
        <v>30000</v>
      </c>
    </row>
    <row r="98" spans="1:2" x14ac:dyDescent="0.25">
      <c r="A98" t="s">
        <v>277</v>
      </c>
      <c r="B98" s="56">
        <v>100000</v>
      </c>
    </row>
    <row r="99" spans="1:2" x14ac:dyDescent="0.25">
      <c r="A99" t="s">
        <v>278</v>
      </c>
      <c r="B99" s="56">
        <v>120000</v>
      </c>
    </row>
    <row r="100" spans="1:2" x14ac:dyDescent="0.25">
      <c r="A100" t="s">
        <v>279</v>
      </c>
      <c r="B100" s="56">
        <v>30000</v>
      </c>
    </row>
    <row r="101" spans="1:2" x14ac:dyDescent="0.25">
      <c r="A101" t="s">
        <v>278</v>
      </c>
      <c r="B101" s="56">
        <v>120000</v>
      </c>
    </row>
    <row r="102" spans="1:2" x14ac:dyDescent="0.25">
      <c r="A102" t="s">
        <v>279</v>
      </c>
      <c r="B102" s="56">
        <v>30000</v>
      </c>
    </row>
    <row r="103" spans="1:2" x14ac:dyDescent="0.25">
      <c r="A103" t="s">
        <v>277</v>
      </c>
      <c r="B103" s="56">
        <v>100000</v>
      </c>
    </row>
    <row r="104" spans="1:2" x14ac:dyDescent="0.25">
      <c r="A104" t="s">
        <v>278</v>
      </c>
      <c r="B104" s="56">
        <v>120000</v>
      </c>
    </row>
    <row r="105" spans="1:2" x14ac:dyDescent="0.25">
      <c r="A105" t="s">
        <v>279</v>
      </c>
      <c r="B105" s="56">
        <v>30000</v>
      </c>
    </row>
    <row r="106" spans="1:2" x14ac:dyDescent="0.25">
      <c r="A106" t="s">
        <v>277</v>
      </c>
      <c r="B106" s="56">
        <v>100000</v>
      </c>
    </row>
    <row r="107" spans="1:2" x14ac:dyDescent="0.25">
      <c r="A107" t="s">
        <v>278</v>
      </c>
      <c r="B107" s="56">
        <v>120000</v>
      </c>
    </row>
    <row r="108" spans="1:2" x14ac:dyDescent="0.25">
      <c r="A108" t="s">
        <v>279</v>
      </c>
      <c r="B108" s="56">
        <v>30000</v>
      </c>
    </row>
    <row r="109" spans="1:2" x14ac:dyDescent="0.25">
      <c r="A109" t="s">
        <v>277</v>
      </c>
      <c r="B109" s="56">
        <v>100000</v>
      </c>
    </row>
    <row r="110" spans="1:2" x14ac:dyDescent="0.25">
      <c r="A110" t="s">
        <v>278</v>
      </c>
      <c r="B110" s="56">
        <v>120000</v>
      </c>
    </row>
    <row r="111" spans="1:2" x14ac:dyDescent="0.25">
      <c r="A111" t="s">
        <v>279</v>
      </c>
      <c r="B111" s="56">
        <v>30000</v>
      </c>
    </row>
    <row r="112" spans="1:2" x14ac:dyDescent="0.25">
      <c r="A112" t="s">
        <v>278</v>
      </c>
      <c r="B112" s="56">
        <v>120000</v>
      </c>
    </row>
    <row r="113" spans="1:2" x14ac:dyDescent="0.25">
      <c r="A113" t="s">
        <v>279</v>
      </c>
      <c r="B113" s="56">
        <v>30000</v>
      </c>
    </row>
    <row r="114" spans="1:2" x14ac:dyDescent="0.25">
      <c r="A114" t="s">
        <v>277</v>
      </c>
      <c r="B114" s="56">
        <v>100000</v>
      </c>
    </row>
    <row r="115" spans="1:2" x14ac:dyDescent="0.25">
      <c r="A115" t="s">
        <v>278</v>
      </c>
      <c r="B115" s="56">
        <v>120000</v>
      </c>
    </row>
    <row r="116" spans="1:2" x14ac:dyDescent="0.25">
      <c r="A116" t="s">
        <v>279</v>
      </c>
      <c r="B116" s="56">
        <v>30000</v>
      </c>
    </row>
    <row r="117" spans="1:2" x14ac:dyDescent="0.25">
      <c r="A117" t="s">
        <v>278</v>
      </c>
      <c r="B117" s="56">
        <v>120000</v>
      </c>
    </row>
    <row r="118" spans="1:2" x14ac:dyDescent="0.25">
      <c r="A118" t="s">
        <v>279</v>
      </c>
      <c r="B118" s="56">
        <v>30000</v>
      </c>
    </row>
    <row r="119" spans="1:2" x14ac:dyDescent="0.25">
      <c r="A119" t="s">
        <v>277</v>
      </c>
      <c r="B119" s="56">
        <v>100000</v>
      </c>
    </row>
    <row r="120" spans="1:2" x14ac:dyDescent="0.25">
      <c r="A120" t="s">
        <v>278</v>
      </c>
      <c r="B120" s="56">
        <v>120000</v>
      </c>
    </row>
    <row r="121" spans="1:2" x14ac:dyDescent="0.25">
      <c r="A121" t="s">
        <v>279</v>
      </c>
      <c r="B121" s="56">
        <v>30000</v>
      </c>
    </row>
    <row r="122" spans="1:2" x14ac:dyDescent="0.25">
      <c r="A122" t="s">
        <v>278</v>
      </c>
      <c r="B122" s="56">
        <v>120000</v>
      </c>
    </row>
    <row r="123" spans="1:2" x14ac:dyDescent="0.25">
      <c r="A123" t="s">
        <v>279</v>
      </c>
      <c r="B123" s="56">
        <v>30000</v>
      </c>
    </row>
    <row r="124" spans="1:2" x14ac:dyDescent="0.25">
      <c r="A124" t="s">
        <v>277</v>
      </c>
      <c r="B124" s="56">
        <v>100000</v>
      </c>
    </row>
    <row r="125" spans="1:2" x14ac:dyDescent="0.25">
      <c r="A125" t="s">
        <v>278</v>
      </c>
      <c r="B125" s="56">
        <v>120000</v>
      </c>
    </row>
    <row r="126" spans="1:2" x14ac:dyDescent="0.25">
      <c r="A126" t="s">
        <v>279</v>
      </c>
      <c r="B126" s="56">
        <v>30000</v>
      </c>
    </row>
    <row r="127" spans="1:2" x14ac:dyDescent="0.25">
      <c r="A127" t="s">
        <v>277</v>
      </c>
      <c r="B127" s="56">
        <v>100000</v>
      </c>
    </row>
    <row r="128" spans="1:2" x14ac:dyDescent="0.25">
      <c r="A128" t="s">
        <v>278</v>
      </c>
      <c r="B128" s="56">
        <v>120000</v>
      </c>
    </row>
    <row r="129" spans="1:2" x14ac:dyDescent="0.25">
      <c r="A129" t="s">
        <v>279</v>
      </c>
      <c r="B129" s="56">
        <v>30000</v>
      </c>
    </row>
    <row r="130" spans="1:2" x14ac:dyDescent="0.25">
      <c r="A130" t="s">
        <v>277</v>
      </c>
      <c r="B130" s="56">
        <v>100000</v>
      </c>
    </row>
    <row r="131" spans="1:2" x14ac:dyDescent="0.25">
      <c r="A131" t="s">
        <v>278</v>
      </c>
      <c r="B131" s="56">
        <v>120000</v>
      </c>
    </row>
    <row r="132" spans="1:2" x14ac:dyDescent="0.25">
      <c r="A132" t="s">
        <v>279</v>
      </c>
      <c r="B132" s="56">
        <v>30000</v>
      </c>
    </row>
    <row r="133" spans="1:2" x14ac:dyDescent="0.25">
      <c r="A133" t="s">
        <v>278</v>
      </c>
      <c r="B133" s="56">
        <v>120000</v>
      </c>
    </row>
    <row r="134" spans="1:2" x14ac:dyDescent="0.25">
      <c r="A134" t="s">
        <v>279</v>
      </c>
      <c r="B134" s="56">
        <v>30000</v>
      </c>
    </row>
    <row r="135" spans="1:2" x14ac:dyDescent="0.25">
      <c r="A135" t="s">
        <v>277</v>
      </c>
      <c r="B135" s="56">
        <v>100000</v>
      </c>
    </row>
    <row r="136" spans="1:2" x14ac:dyDescent="0.25">
      <c r="A136" t="s">
        <v>278</v>
      </c>
      <c r="B136" s="56">
        <v>120000</v>
      </c>
    </row>
    <row r="137" spans="1:2" x14ac:dyDescent="0.25">
      <c r="A137" t="s">
        <v>279</v>
      </c>
      <c r="B137" s="56">
        <v>30000</v>
      </c>
    </row>
    <row r="138" spans="1:2" x14ac:dyDescent="0.25">
      <c r="A138" t="s">
        <v>278</v>
      </c>
      <c r="B138" s="56">
        <v>120000</v>
      </c>
    </row>
    <row r="139" spans="1:2" x14ac:dyDescent="0.25">
      <c r="A139" t="s">
        <v>279</v>
      </c>
      <c r="B139" s="56">
        <v>30000</v>
      </c>
    </row>
    <row r="140" spans="1:2" x14ac:dyDescent="0.25">
      <c r="A140" t="s">
        <v>277</v>
      </c>
      <c r="B140" s="56">
        <v>100000</v>
      </c>
    </row>
    <row r="141" spans="1:2" x14ac:dyDescent="0.25">
      <c r="A141" t="s">
        <v>278</v>
      </c>
      <c r="B141" s="56">
        <v>120000</v>
      </c>
    </row>
    <row r="142" spans="1:2" x14ac:dyDescent="0.25">
      <c r="A142" t="s">
        <v>279</v>
      </c>
      <c r="B142" s="56">
        <v>30000</v>
      </c>
    </row>
    <row r="143" spans="1:2" x14ac:dyDescent="0.25">
      <c r="A143" t="s">
        <v>278</v>
      </c>
      <c r="B143" s="56">
        <v>120000</v>
      </c>
    </row>
    <row r="144" spans="1:2" x14ac:dyDescent="0.25">
      <c r="A144" t="s">
        <v>279</v>
      </c>
      <c r="B144" s="56">
        <v>30000</v>
      </c>
    </row>
    <row r="145" spans="1:2" x14ac:dyDescent="0.25">
      <c r="A145" t="s">
        <v>277</v>
      </c>
      <c r="B145" s="56">
        <v>100000</v>
      </c>
    </row>
    <row r="146" spans="1:2" x14ac:dyDescent="0.25">
      <c r="A146" t="s">
        <v>278</v>
      </c>
      <c r="B146" s="56">
        <v>120000</v>
      </c>
    </row>
    <row r="147" spans="1:2" x14ac:dyDescent="0.25">
      <c r="A147" t="s">
        <v>279</v>
      </c>
      <c r="B147" s="56">
        <v>30000</v>
      </c>
    </row>
    <row r="148" spans="1:2" x14ac:dyDescent="0.25">
      <c r="A148" t="s">
        <v>277</v>
      </c>
      <c r="B148" s="56">
        <v>100000</v>
      </c>
    </row>
    <row r="149" spans="1:2" x14ac:dyDescent="0.25">
      <c r="A149" t="s">
        <v>278</v>
      </c>
      <c r="B149" s="56">
        <v>120000</v>
      </c>
    </row>
    <row r="150" spans="1:2" x14ac:dyDescent="0.25">
      <c r="A150" t="s">
        <v>279</v>
      </c>
      <c r="B150" s="56">
        <v>30000</v>
      </c>
    </row>
    <row r="151" spans="1:2" x14ac:dyDescent="0.25">
      <c r="A151" t="s">
        <v>277</v>
      </c>
      <c r="B151" s="56">
        <v>100000</v>
      </c>
    </row>
    <row r="152" spans="1:2" x14ac:dyDescent="0.25">
      <c r="A152" t="s">
        <v>278</v>
      </c>
      <c r="B152" s="56">
        <v>120000</v>
      </c>
    </row>
    <row r="153" spans="1:2" x14ac:dyDescent="0.25">
      <c r="A153" t="s">
        <v>279</v>
      </c>
      <c r="B153" s="56">
        <v>30000</v>
      </c>
    </row>
    <row r="154" spans="1:2" x14ac:dyDescent="0.25">
      <c r="A154" t="s">
        <v>278</v>
      </c>
      <c r="B154" s="56">
        <v>120000</v>
      </c>
    </row>
    <row r="155" spans="1:2" x14ac:dyDescent="0.25">
      <c r="A155" t="s">
        <v>279</v>
      </c>
      <c r="B155" s="56">
        <v>30000</v>
      </c>
    </row>
    <row r="156" spans="1:2" x14ac:dyDescent="0.25">
      <c r="A156" t="s">
        <v>277</v>
      </c>
      <c r="B156" s="56">
        <v>100000</v>
      </c>
    </row>
    <row r="157" spans="1:2" x14ac:dyDescent="0.25">
      <c r="A157" t="s">
        <v>278</v>
      </c>
      <c r="B157" s="56">
        <v>120000</v>
      </c>
    </row>
    <row r="158" spans="1:2" x14ac:dyDescent="0.25">
      <c r="A158" t="s">
        <v>279</v>
      </c>
      <c r="B158" s="56">
        <v>30000</v>
      </c>
    </row>
    <row r="159" spans="1:2" x14ac:dyDescent="0.25">
      <c r="A159" t="s">
        <v>278</v>
      </c>
      <c r="B159" s="56">
        <v>120000</v>
      </c>
    </row>
    <row r="160" spans="1:2" x14ac:dyDescent="0.25">
      <c r="A160" t="s">
        <v>279</v>
      </c>
      <c r="B160" s="56">
        <v>30000</v>
      </c>
    </row>
    <row r="161" spans="1:2" x14ac:dyDescent="0.25">
      <c r="A161" t="s">
        <v>277</v>
      </c>
      <c r="B161" s="56">
        <v>100000</v>
      </c>
    </row>
    <row r="162" spans="1:2" x14ac:dyDescent="0.25">
      <c r="A162" t="s">
        <v>278</v>
      </c>
      <c r="B162" s="56">
        <v>120000</v>
      </c>
    </row>
    <row r="163" spans="1:2" x14ac:dyDescent="0.25">
      <c r="A163" t="s">
        <v>279</v>
      </c>
      <c r="B163" s="56">
        <v>30000</v>
      </c>
    </row>
    <row r="164" spans="1:2" x14ac:dyDescent="0.25">
      <c r="A164" t="s">
        <v>278</v>
      </c>
      <c r="B164" s="56">
        <v>120000</v>
      </c>
    </row>
    <row r="165" spans="1:2" x14ac:dyDescent="0.25">
      <c r="A165" t="s">
        <v>279</v>
      </c>
      <c r="B165" s="56">
        <v>30000</v>
      </c>
    </row>
    <row r="166" spans="1:2" x14ac:dyDescent="0.25">
      <c r="A166" t="s">
        <v>277</v>
      </c>
      <c r="B166" s="56">
        <v>100000</v>
      </c>
    </row>
    <row r="167" spans="1:2" x14ac:dyDescent="0.25">
      <c r="A167" t="s">
        <v>278</v>
      </c>
      <c r="B167" s="56">
        <v>120000</v>
      </c>
    </row>
    <row r="168" spans="1:2" x14ac:dyDescent="0.25">
      <c r="A168" t="s">
        <v>279</v>
      </c>
      <c r="B168" s="56">
        <v>30000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zoomScale="120" zoomScaleNormal="120" workbookViewId="0">
      <selection activeCell="E14" sqref="E14:F14"/>
    </sheetView>
  </sheetViews>
  <sheetFormatPr baseColWidth="10" defaultRowHeight="15" x14ac:dyDescent="0.25"/>
  <cols>
    <col min="2" max="2" width="13.140625" customWidth="1"/>
  </cols>
  <sheetData>
    <row r="1" spans="1:8" x14ac:dyDescent="0.25">
      <c r="A1" s="1" t="s">
        <v>287</v>
      </c>
      <c r="C1" s="65">
        <v>41639</v>
      </c>
      <c r="E1" s="65">
        <v>42004</v>
      </c>
      <c r="G1" s="65">
        <v>42369</v>
      </c>
    </row>
    <row r="2" spans="1:8" x14ac:dyDescent="0.25">
      <c r="A2" t="s">
        <v>282</v>
      </c>
      <c r="C2" s="56">
        <v>1000000</v>
      </c>
      <c r="E2" s="56">
        <v>1000000</v>
      </c>
      <c r="G2" s="56">
        <v>1000000</v>
      </c>
    </row>
    <row r="3" spans="1:8" x14ac:dyDescent="0.25">
      <c r="A3" t="s">
        <v>312</v>
      </c>
      <c r="C3" s="56">
        <f>+C2*10%*3</f>
        <v>300000</v>
      </c>
      <c r="E3" s="56">
        <f>+E2*10%*4</f>
        <v>400000</v>
      </c>
      <c r="G3" s="56">
        <f>+E3+50000</f>
        <v>450000</v>
      </c>
    </row>
    <row r="4" spans="1:8" x14ac:dyDescent="0.25">
      <c r="A4" s="1" t="s">
        <v>313</v>
      </c>
      <c r="C4" s="59">
        <f>+C2-C3</f>
        <v>700000</v>
      </c>
      <c r="D4" s="1"/>
      <c r="E4" s="59">
        <f>+E2-E3</f>
        <v>600000</v>
      </c>
      <c r="F4" s="1"/>
      <c r="G4" s="59">
        <f>+G2-G3</f>
        <v>550000</v>
      </c>
    </row>
    <row r="6" spans="1:8" x14ac:dyDescent="0.25">
      <c r="A6" s="1" t="s">
        <v>50</v>
      </c>
      <c r="C6" s="65">
        <v>41639</v>
      </c>
      <c r="E6" s="65">
        <v>42004</v>
      </c>
      <c r="G6" s="65">
        <v>42369</v>
      </c>
    </row>
    <row r="7" spans="1:8" x14ac:dyDescent="0.25">
      <c r="A7" t="s">
        <v>282</v>
      </c>
      <c r="C7" s="56">
        <v>1000000</v>
      </c>
      <c r="E7" s="56">
        <v>1000000</v>
      </c>
      <c r="G7" s="56">
        <v>1000000</v>
      </c>
    </row>
    <row r="8" spans="1:8" x14ac:dyDescent="0.25">
      <c r="A8" t="s">
        <v>312</v>
      </c>
      <c r="C8" s="56">
        <f>+C7*5%*3</f>
        <v>150000</v>
      </c>
      <c r="E8" s="56">
        <f>+E7*5%*4</f>
        <v>200000</v>
      </c>
      <c r="G8" s="56">
        <f>+G7*5%*5</f>
        <v>250000</v>
      </c>
    </row>
    <row r="9" spans="1:8" x14ac:dyDescent="0.25">
      <c r="A9" s="1" t="s">
        <v>314</v>
      </c>
      <c r="C9" s="59">
        <f>+C7-C8</f>
        <v>850000</v>
      </c>
      <c r="D9" s="1"/>
      <c r="E9" s="59">
        <f>+E7-E8</f>
        <v>800000</v>
      </c>
      <c r="F9" s="1"/>
      <c r="G9" s="59">
        <f>+G7-G8</f>
        <v>750000</v>
      </c>
    </row>
    <row r="11" spans="1:8" x14ac:dyDescent="0.25">
      <c r="A11" s="1" t="s">
        <v>315</v>
      </c>
      <c r="C11" s="59">
        <f>+C9-C4</f>
        <v>150000</v>
      </c>
      <c r="E11" s="59">
        <f>+E9-E4</f>
        <v>200000</v>
      </c>
      <c r="G11" s="59">
        <f>+G9-G4</f>
        <v>200000</v>
      </c>
    </row>
    <row r="12" spans="1:8" x14ac:dyDescent="0.25">
      <c r="A12" s="1" t="s">
        <v>316</v>
      </c>
      <c r="C12" s="59">
        <f>+C11*30%</f>
        <v>45000</v>
      </c>
      <c r="E12" s="59">
        <f>+E11*30%</f>
        <v>60000</v>
      </c>
      <c r="G12" s="59">
        <f>+G11*30%</f>
        <v>60000</v>
      </c>
    </row>
    <row r="14" spans="1:8" x14ac:dyDescent="0.25">
      <c r="C14" s="65">
        <v>41639</v>
      </c>
      <c r="D14" s="65">
        <v>41639</v>
      </c>
      <c r="E14" s="66">
        <v>42004</v>
      </c>
      <c r="F14" s="66">
        <v>42004</v>
      </c>
      <c r="G14" s="65">
        <v>42369</v>
      </c>
      <c r="H14" s="65">
        <v>42369</v>
      </c>
    </row>
    <row r="15" spans="1:8" x14ac:dyDescent="0.25">
      <c r="A15" t="s">
        <v>318</v>
      </c>
      <c r="C15" s="56">
        <f>+D17</f>
        <v>45000</v>
      </c>
      <c r="E15" s="56">
        <f>+C15</f>
        <v>45000</v>
      </c>
      <c r="G15" s="56">
        <f>+E15+E16</f>
        <v>60000</v>
      </c>
    </row>
    <row r="16" spans="1:8" x14ac:dyDescent="0.25">
      <c r="A16" t="s">
        <v>319</v>
      </c>
      <c r="C16" s="56"/>
      <c r="E16" s="56">
        <f>+F17-E15</f>
        <v>15000</v>
      </c>
      <c r="G16">
        <v>0</v>
      </c>
    </row>
    <row r="17" spans="1:8" x14ac:dyDescent="0.25">
      <c r="A17" t="s">
        <v>317</v>
      </c>
      <c r="D17" s="56">
        <f>+C12</f>
        <v>45000</v>
      </c>
      <c r="F17" s="56">
        <f>+E12</f>
        <v>60000</v>
      </c>
      <c r="H17" s="56">
        <f>+G12</f>
        <v>60000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6"/>
  <sheetViews>
    <sheetView zoomScaleNormal="100" workbookViewId="0">
      <selection activeCell="G12" sqref="G12"/>
    </sheetView>
  </sheetViews>
  <sheetFormatPr baseColWidth="10" defaultRowHeight="15" x14ac:dyDescent="0.25"/>
  <cols>
    <col min="4" max="4" width="5.5703125" bestFit="1" customWidth="1"/>
    <col min="9" max="9" width="3.42578125" customWidth="1"/>
    <col min="10" max="10" width="5.28515625" customWidth="1"/>
  </cols>
  <sheetData>
    <row r="1" spans="1:12" x14ac:dyDescent="0.25">
      <c r="A1" t="s">
        <v>336</v>
      </c>
      <c r="B1" s="56">
        <v>5000000</v>
      </c>
      <c r="D1" s="1" t="s">
        <v>285</v>
      </c>
      <c r="E1" s="79">
        <v>7.0000000000000007E-2</v>
      </c>
    </row>
    <row r="2" spans="1:12" x14ac:dyDescent="0.25">
      <c r="A2" t="s">
        <v>337</v>
      </c>
      <c r="B2" s="56">
        <v>300000</v>
      </c>
      <c r="E2" s="1" t="s">
        <v>339</v>
      </c>
      <c r="F2" s="1" t="s">
        <v>340</v>
      </c>
      <c r="G2" s="1" t="s">
        <v>341</v>
      </c>
      <c r="J2">
        <v>10</v>
      </c>
      <c r="K2" s="56">
        <f>B1</f>
        <v>5000000</v>
      </c>
    </row>
    <row r="3" spans="1:12" x14ac:dyDescent="0.25">
      <c r="A3" s="1" t="s">
        <v>338</v>
      </c>
      <c r="B3" s="59">
        <f>B1-B2</f>
        <v>4700000</v>
      </c>
      <c r="D3">
        <v>1</v>
      </c>
      <c r="E3" s="56">
        <f>PPMT($E$1,D3,$D$7,$B$1,0,0)</f>
        <v>-869453.47220687033</v>
      </c>
      <c r="F3" s="56">
        <f>IPMT($E$1,D3,$D$7,$B$1,0,0)</f>
        <v>-350000.00000000006</v>
      </c>
      <c r="G3" s="56">
        <f>+E3+F3</f>
        <v>-1219453.4722068703</v>
      </c>
      <c r="J3">
        <v>45</v>
      </c>
      <c r="L3" s="56">
        <f>K2</f>
        <v>5000000</v>
      </c>
    </row>
    <row r="4" spans="1:12" x14ac:dyDescent="0.25">
      <c r="D4">
        <v>2</v>
      </c>
      <c r="E4" s="56">
        <f>PPMT($E$1,D4,$D$7,$B$1,0,0)</f>
        <v>-930315.21526135132</v>
      </c>
      <c r="F4" s="56">
        <f>IPMT($E$1,D4,$D$7,$B$1,0,0)</f>
        <v>-289138.25694551913</v>
      </c>
      <c r="G4" s="56">
        <f>+E4+F4</f>
        <v>-1219453.4722068706</v>
      </c>
    </row>
    <row r="5" spans="1:12" x14ac:dyDescent="0.25">
      <c r="D5">
        <v>3</v>
      </c>
      <c r="E5" s="56">
        <f t="shared" ref="E5:E7" si="0">PPMT($E$1,D5,$D$7,$B$1,0,0)</f>
        <v>-995437.28032964596</v>
      </c>
      <c r="F5" s="56">
        <f>IPMT($E$1,D5,$D$7,$B$1,0,0)</f>
        <v>-224016.19187722451</v>
      </c>
      <c r="G5" s="56">
        <f>+E5+F5</f>
        <v>-1219453.4722068706</v>
      </c>
      <c r="J5">
        <v>18</v>
      </c>
      <c r="K5" s="56">
        <f>+L6</f>
        <v>300000</v>
      </c>
    </row>
    <row r="6" spans="1:12" x14ac:dyDescent="0.25">
      <c r="D6">
        <v>4</v>
      </c>
      <c r="E6" s="56">
        <f t="shared" si="0"/>
        <v>-1065117.8899527213</v>
      </c>
      <c r="F6" s="56">
        <f>IPMT($E$1,D6,$D$7,$B$1,0,0)</f>
        <v>-154335.58225414931</v>
      </c>
      <c r="G6" s="56">
        <f>+E6+F6</f>
        <v>-1219453.4722068706</v>
      </c>
      <c r="J6">
        <v>10</v>
      </c>
      <c r="L6" s="56">
        <f>B2</f>
        <v>300000</v>
      </c>
    </row>
    <row r="7" spans="1:12" x14ac:dyDescent="0.25">
      <c r="D7">
        <v>5</v>
      </c>
      <c r="E7" s="56">
        <f t="shared" si="0"/>
        <v>-1139676.1422494117</v>
      </c>
      <c r="F7" s="56">
        <f>IPMT($E$1,D7,$D$7,$B$1,0,0)</f>
        <v>-79777.329957458831</v>
      </c>
      <c r="G7" s="56">
        <f>+E7+F7</f>
        <v>-1219453.4722068706</v>
      </c>
    </row>
    <row r="8" spans="1:12" x14ac:dyDescent="0.25">
      <c r="E8" s="59">
        <f>SUM(E3:E7)</f>
        <v>-5000000.0000000009</v>
      </c>
      <c r="F8" s="59">
        <f>SUM(F3:F7)</f>
        <v>-1097267.3610343519</v>
      </c>
      <c r="G8" s="59">
        <f>SUM(G3:G7)</f>
        <v>-6097267.3610343523</v>
      </c>
      <c r="J8">
        <v>67</v>
      </c>
      <c r="K8" s="56">
        <f>-F3</f>
        <v>350000.00000000006</v>
      </c>
    </row>
    <row r="9" spans="1:12" x14ac:dyDescent="0.25">
      <c r="J9">
        <v>45</v>
      </c>
      <c r="K9" s="56">
        <f>-E3</f>
        <v>869453.47220687033</v>
      </c>
    </row>
    <row r="10" spans="1:12" x14ac:dyDescent="0.25">
      <c r="A10" s="1" t="s">
        <v>342</v>
      </c>
      <c r="B10" s="1" t="s">
        <v>343</v>
      </c>
      <c r="D10" s="1" t="s">
        <v>344</v>
      </c>
      <c r="E10" s="1" t="s">
        <v>345</v>
      </c>
      <c r="J10">
        <v>10</v>
      </c>
      <c r="L10" s="56">
        <f>-G3</f>
        <v>1219453.4722068703</v>
      </c>
    </row>
    <row r="11" spans="1:12" x14ac:dyDescent="0.25">
      <c r="A11" s="76">
        <v>0</v>
      </c>
      <c r="B11" s="77">
        <f>+B3</f>
        <v>4700000</v>
      </c>
      <c r="E11" s="60" t="s">
        <v>329</v>
      </c>
      <c r="F11" s="60" t="s">
        <v>346</v>
      </c>
      <c r="G11" s="60" t="s">
        <v>347</v>
      </c>
      <c r="H11" s="60" t="s">
        <v>332</v>
      </c>
    </row>
    <row r="12" spans="1:12" x14ac:dyDescent="0.25">
      <c r="A12" s="76">
        <f>+A11+1</f>
        <v>1</v>
      </c>
      <c r="B12" s="77">
        <f>+G3</f>
        <v>-1219453.4722068703</v>
      </c>
      <c r="D12" s="76">
        <f>+D11+1</f>
        <v>1</v>
      </c>
      <c r="E12" s="56">
        <f>B11</f>
        <v>4700000</v>
      </c>
      <c r="F12" s="56">
        <f>E12*$B$17</f>
        <v>439637.85501006391</v>
      </c>
      <c r="G12" s="56">
        <f>+G3</f>
        <v>-1219453.4722068703</v>
      </c>
      <c r="H12" s="64">
        <f>SUM(E12:G12)</f>
        <v>3920184.3828031942</v>
      </c>
      <c r="J12">
        <v>67</v>
      </c>
      <c r="K12" s="56">
        <f>+F21</f>
        <v>89637.855010063853</v>
      </c>
    </row>
    <row r="13" spans="1:12" x14ac:dyDescent="0.25">
      <c r="A13" s="76">
        <f t="shared" ref="A13:A16" si="1">+A12+1</f>
        <v>2</v>
      </c>
      <c r="B13" s="77">
        <f>+B12</f>
        <v>-1219453.4722068703</v>
      </c>
      <c r="D13" s="76">
        <f t="shared" ref="D13:D16" si="2">+D12+1</f>
        <v>2</v>
      </c>
      <c r="E13" s="56">
        <f>+H12</f>
        <v>3920184.3828031942</v>
      </c>
      <c r="F13" s="56">
        <f>E13*$B$17</f>
        <v>366693.92623394629</v>
      </c>
      <c r="G13" s="56">
        <f>+G4</f>
        <v>-1219453.4722068706</v>
      </c>
      <c r="H13" s="56">
        <f>SUM(E13:G13)</f>
        <v>3067424.83683027</v>
      </c>
      <c r="J13">
        <v>18</v>
      </c>
      <c r="L13" s="56">
        <f>+K12</f>
        <v>89637.855010063853</v>
      </c>
    </row>
    <row r="14" spans="1:12" x14ac:dyDescent="0.25">
      <c r="A14" s="76">
        <f t="shared" si="1"/>
        <v>3</v>
      </c>
      <c r="B14" s="77">
        <f>+B13</f>
        <v>-1219453.4722068703</v>
      </c>
      <c r="D14" s="76">
        <f t="shared" si="2"/>
        <v>3</v>
      </c>
      <c r="E14" s="56">
        <f t="shared" ref="E14:E16" si="3">+H13</f>
        <v>3067424.83683027</v>
      </c>
      <c r="F14" s="56">
        <f t="shared" ref="F14:F16" si="4">E14*$B$17</f>
        <v>286926.82461035217</v>
      </c>
      <c r="G14" s="56">
        <f t="shared" ref="G14:G16" si="5">+G5</f>
        <v>-1219453.4722068706</v>
      </c>
      <c r="H14" s="56">
        <f t="shared" ref="H14:H16" si="6">SUM(E14:G14)</f>
        <v>2134898.1892337515</v>
      </c>
    </row>
    <row r="15" spans="1:12" x14ac:dyDescent="0.25">
      <c r="A15" s="76">
        <f t="shared" si="1"/>
        <v>4</v>
      </c>
      <c r="B15" s="77">
        <f>+B14</f>
        <v>-1219453.4722068703</v>
      </c>
      <c r="D15" s="76">
        <f t="shared" si="2"/>
        <v>4</v>
      </c>
      <c r="E15" s="56">
        <f t="shared" si="3"/>
        <v>2134898.1892337515</v>
      </c>
      <c r="F15" s="56">
        <f t="shared" si="4"/>
        <v>199698.31076161619</v>
      </c>
      <c r="G15" s="56">
        <f t="shared" si="5"/>
        <v>-1219453.4722068706</v>
      </c>
      <c r="H15" s="56">
        <f t="shared" si="6"/>
        <v>1115143.027788497</v>
      </c>
    </row>
    <row r="16" spans="1:12" x14ac:dyDescent="0.25">
      <c r="A16" s="76">
        <f t="shared" si="1"/>
        <v>5</v>
      </c>
      <c r="B16" s="77">
        <f>+B15</f>
        <v>-1219453.4722068703</v>
      </c>
      <c r="D16" s="76">
        <f t="shared" si="2"/>
        <v>5</v>
      </c>
      <c r="E16" s="56">
        <f t="shared" si="3"/>
        <v>1115143.027788497</v>
      </c>
      <c r="F16" s="56">
        <f t="shared" si="4"/>
        <v>104310.44441837509</v>
      </c>
      <c r="G16" s="56">
        <f t="shared" si="5"/>
        <v>-1219453.4722068706</v>
      </c>
      <c r="H16" s="78">
        <f t="shared" si="6"/>
        <v>0</v>
      </c>
      <c r="J16" s="1">
        <v>45</v>
      </c>
      <c r="K16" s="1"/>
      <c r="L16" s="56">
        <f>L3-K9</f>
        <v>4130546.5277931299</v>
      </c>
    </row>
    <row r="17" spans="2:12" x14ac:dyDescent="0.25">
      <c r="B17" s="80">
        <f>IRR(B11:B16)</f>
        <v>9.3539969151077429E-2</v>
      </c>
      <c r="F17" s="59">
        <f>SUM(F12:F16)</f>
        <v>1397267.3610343535</v>
      </c>
      <c r="J17" s="1">
        <v>18</v>
      </c>
      <c r="L17" s="56">
        <f>K5-L13</f>
        <v>210362.14498993615</v>
      </c>
    </row>
    <row r="18" spans="2:12" x14ac:dyDescent="0.25">
      <c r="J18" s="1" t="s">
        <v>348</v>
      </c>
      <c r="L18" s="81">
        <f>+L16-L17</f>
        <v>3920184.3828031938</v>
      </c>
    </row>
    <row r="19" spans="2:12" x14ac:dyDescent="0.25">
      <c r="F19" s="59">
        <f>+F17+F8</f>
        <v>300000.00000000163</v>
      </c>
    </row>
    <row r="21" spans="2:12" x14ac:dyDescent="0.25">
      <c r="D21" s="76">
        <f>+D20+1</f>
        <v>1</v>
      </c>
      <c r="F21" s="56">
        <f>F12+F3</f>
        <v>89637.855010063853</v>
      </c>
    </row>
    <row r="22" spans="2:12" x14ac:dyDescent="0.25">
      <c r="D22" s="76">
        <f t="shared" ref="D22:D25" si="7">+D21+1</f>
        <v>2</v>
      </c>
      <c r="F22" s="56">
        <f>F13+F4</f>
        <v>77555.669288427162</v>
      </c>
    </row>
    <row r="23" spans="2:12" x14ac:dyDescent="0.25">
      <c r="D23" s="76">
        <f t="shared" si="7"/>
        <v>3</v>
      </c>
      <c r="F23" s="56">
        <f>F14+F5</f>
        <v>62910.632733127655</v>
      </c>
    </row>
    <row r="24" spans="2:12" x14ac:dyDescent="0.25">
      <c r="D24" s="76">
        <f t="shared" si="7"/>
        <v>4</v>
      </c>
      <c r="F24" s="56">
        <f>F15+F6</f>
        <v>45362.728507466876</v>
      </c>
    </row>
    <row r="25" spans="2:12" x14ac:dyDescent="0.25">
      <c r="D25" s="76">
        <f t="shared" si="7"/>
        <v>5</v>
      </c>
      <c r="F25" s="56">
        <f>F16+F7</f>
        <v>24533.114460916258</v>
      </c>
    </row>
    <row r="26" spans="2:12" x14ac:dyDescent="0.25">
      <c r="F26" s="59">
        <f>SUM(F21:F25)</f>
        <v>300000.0000000018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536"/>
  <sheetViews>
    <sheetView workbookViewId="0">
      <selection activeCell="E1" sqref="E1"/>
    </sheetView>
  </sheetViews>
  <sheetFormatPr baseColWidth="10" defaultRowHeight="15" x14ac:dyDescent="0.25"/>
  <sheetData>
    <row r="1" spans="1:6" x14ac:dyDescent="0.25">
      <c r="A1" t="s">
        <v>352</v>
      </c>
      <c r="B1" s="56">
        <v>100000</v>
      </c>
      <c r="E1" t="s">
        <v>352</v>
      </c>
      <c r="F1" s="56">
        <f ca="1">SUMIF(A:B,E1,B:B)</f>
        <v>51200000</v>
      </c>
    </row>
    <row r="2" spans="1:6" x14ac:dyDescent="0.25">
      <c r="A2" t="s">
        <v>353</v>
      </c>
      <c r="B2" s="56">
        <v>200000</v>
      </c>
      <c r="E2" t="s">
        <v>353</v>
      </c>
      <c r="F2" s="56">
        <f ca="1">SUMIF(A:B,E2,B:B)</f>
        <v>102400000</v>
      </c>
    </row>
    <row r="3" spans="1:6" x14ac:dyDescent="0.25">
      <c r="A3" t="s">
        <v>354</v>
      </c>
      <c r="B3" s="56">
        <v>300000</v>
      </c>
      <c r="E3" t="s">
        <v>354</v>
      </c>
      <c r="F3" s="56">
        <f ca="1">SUMIF(A:B,E3,B:B)</f>
        <v>153600000</v>
      </c>
    </row>
    <row r="4" spans="1:6" x14ac:dyDescent="0.25">
      <c r="A4" t="s">
        <v>352</v>
      </c>
      <c r="B4" s="56">
        <v>100000</v>
      </c>
    </row>
    <row r="5" spans="1:6" x14ac:dyDescent="0.25">
      <c r="A5" t="s">
        <v>353</v>
      </c>
      <c r="B5" s="56">
        <v>200000</v>
      </c>
    </row>
    <row r="6" spans="1:6" x14ac:dyDescent="0.25">
      <c r="A6" t="s">
        <v>354</v>
      </c>
      <c r="B6" s="56">
        <v>300000</v>
      </c>
    </row>
    <row r="7" spans="1:6" x14ac:dyDescent="0.25">
      <c r="A7" t="s">
        <v>352</v>
      </c>
      <c r="B7" s="56">
        <v>100000</v>
      </c>
    </row>
    <row r="8" spans="1:6" x14ac:dyDescent="0.25">
      <c r="A8" t="s">
        <v>353</v>
      </c>
      <c r="B8" s="56">
        <v>200000</v>
      </c>
    </row>
    <row r="9" spans="1:6" x14ac:dyDescent="0.25">
      <c r="A9" t="s">
        <v>354</v>
      </c>
      <c r="B9" s="56">
        <v>300000</v>
      </c>
    </row>
    <row r="10" spans="1:6" x14ac:dyDescent="0.25">
      <c r="A10" t="s">
        <v>352</v>
      </c>
      <c r="B10" s="56">
        <v>100000</v>
      </c>
    </row>
    <row r="11" spans="1:6" x14ac:dyDescent="0.25">
      <c r="A11" t="s">
        <v>353</v>
      </c>
      <c r="B11" s="56">
        <v>200000</v>
      </c>
    </row>
    <row r="12" spans="1:6" x14ac:dyDescent="0.25">
      <c r="A12" t="s">
        <v>354</v>
      </c>
      <c r="B12" s="56">
        <v>300000</v>
      </c>
    </row>
    <row r="13" spans="1:6" x14ac:dyDescent="0.25">
      <c r="A13" t="s">
        <v>352</v>
      </c>
      <c r="B13" s="56">
        <v>100000</v>
      </c>
    </row>
    <row r="14" spans="1:6" x14ac:dyDescent="0.25">
      <c r="A14" t="s">
        <v>353</v>
      </c>
      <c r="B14" s="56">
        <v>200000</v>
      </c>
    </row>
    <row r="15" spans="1:6" x14ac:dyDescent="0.25">
      <c r="A15" t="s">
        <v>354</v>
      </c>
      <c r="B15" s="56">
        <v>300000</v>
      </c>
    </row>
    <row r="16" spans="1:6" x14ac:dyDescent="0.25">
      <c r="A16" t="s">
        <v>352</v>
      </c>
      <c r="B16" s="56">
        <v>100000</v>
      </c>
    </row>
    <row r="17" spans="1:2" x14ac:dyDescent="0.25">
      <c r="A17" t="s">
        <v>353</v>
      </c>
      <c r="B17" s="56">
        <v>200000</v>
      </c>
    </row>
    <row r="18" spans="1:2" x14ac:dyDescent="0.25">
      <c r="A18" t="s">
        <v>354</v>
      </c>
      <c r="B18" s="56">
        <v>300000</v>
      </c>
    </row>
    <row r="19" spans="1:2" x14ac:dyDescent="0.25">
      <c r="A19" t="s">
        <v>352</v>
      </c>
      <c r="B19" s="56">
        <v>100000</v>
      </c>
    </row>
    <row r="20" spans="1:2" x14ac:dyDescent="0.25">
      <c r="A20" t="s">
        <v>353</v>
      </c>
      <c r="B20" s="56">
        <v>200000</v>
      </c>
    </row>
    <row r="21" spans="1:2" x14ac:dyDescent="0.25">
      <c r="A21" t="s">
        <v>354</v>
      </c>
      <c r="B21" s="56">
        <v>300000</v>
      </c>
    </row>
    <row r="22" spans="1:2" x14ac:dyDescent="0.25">
      <c r="A22" t="s">
        <v>352</v>
      </c>
      <c r="B22" s="56">
        <v>100000</v>
      </c>
    </row>
    <row r="23" spans="1:2" x14ac:dyDescent="0.25">
      <c r="A23" t="s">
        <v>353</v>
      </c>
      <c r="B23" s="56">
        <v>200000</v>
      </c>
    </row>
    <row r="24" spans="1:2" x14ac:dyDescent="0.25">
      <c r="A24" t="s">
        <v>354</v>
      </c>
      <c r="B24" s="56">
        <v>300000</v>
      </c>
    </row>
    <row r="25" spans="1:2" x14ac:dyDescent="0.25">
      <c r="A25" t="s">
        <v>352</v>
      </c>
      <c r="B25" s="56">
        <v>100000</v>
      </c>
    </row>
    <row r="26" spans="1:2" x14ac:dyDescent="0.25">
      <c r="A26" t="s">
        <v>353</v>
      </c>
      <c r="B26" s="56">
        <v>200000</v>
      </c>
    </row>
    <row r="27" spans="1:2" x14ac:dyDescent="0.25">
      <c r="A27" t="s">
        <v>354</v>
      </c>
      <c r="B27" s="56">
        <v>300000</v>
      </c>
    </row>
    <row r="28" spans="1:2" x14ac:dyDescent="0.25">
      <c r="A28" t="s">
        <v>352</v>
      </c>
      <c r="B28" s="56">
        <v>100000</v>
      </c>
    </row>
    <row r="29" spans="1:2" x14ac:dyDescent="0.25">
      <c r="A29" t="s">
        <v>353</v>
      </c>
      <c r="B29" s="56">
        <v>200000</v>
      </c>
    </row>
    <row r="30" spans="1:2" x14ac:dyDescent="0.25">
      <c r="A30" t="s">
        <v>354</v>
      </c>
      <c r="B30" s="56">
        <v>300000</v>
      </c>
    </row>
    <row r="31" spans="1:2" x14ac:dyDescent="0.25">
      <c r="A31" t="s">
        <v>352</v>
      </c>
      <c r="B31" s="56">
        <v>100000</v>
      </c>
    </row>
    <row r="32" spans="1:2" x14ac:dyDescent="0.25">
      <c r="A32" t="s">
        <v>353</v>
      </c>
      <c r="B32" s="56">
        <v>200000</v>
      </c>
    </row>
    <row r="33" spans="1:2" x14ac:dyDescent="0.25">
      <c r="A33" t="s">
        <v>354</v>
      </c>
      <c r="B33" s="56">
        <v>300000</v>
      </c>
    </row>
    <row r="34" spans="1:2" x14ac:dyDescent="0.25">
      <c r="A34" t="s">
        <v>352</v>
      </c>
      <c r="B34" s="56">
        <v>100000</v>
      </c>
    </row>
    <row r="35" spans="1:2" x14ac:dyDescent="0.25">
      <c r="A35" t="s">
        <v>353</v>
      </c>
      <c r="B35" s="56">
        <v>200000</v>
      </c>
    </row>
    <row r="36" spans="1:2" x14ac:dyDescent="0.25">
      <c r="A36" t="s">
        <v>354</v>
      </c>
      <c r="B36" s="56">
        <v>300000</v>
      </c>
    </row>
    <row r="37" spans="1:2" x14ac:dyDescent="0.25">
      <c r="A37" t="s">
        <v>352</v>
      </c>
      <c r="B37" s="56">
        <v>100000</v>
      </c>
    </row>
    <row r="38" spans="1:2" x14ac:dyDescent="0.25">
      <c r="A38" t="s">
        <v>353</v>
      </c>
      <c r="B38" s="56">
        <v>200000</v>
      </c>
    </row>
    <row r="39" spans="1:2" x14ac:dyDescent="0.25">
      <c r="A39" t="s">
        <v>354</v>
      </c>
      <c r="B39" s="56">
        <v>300000</v>
      </c>
    </row>
    <row r="40" spans="1:2" x14ac:dyDescent="0.25">
      <c r="A40" t="s">
        <v>352</v>
      </c>
      <c r="B40" s="56">
        <v>100000</v>
      </c>
    </row>
    <row r="41" spans="1:2" x14ac:dyDescent="0.25">
      <c r="A41" t="s">
        <v>353</v>
      </c>
      <c r="B41" s="56">
        <v>200000</v>
      </c>
    </row>
    <row r="42" spans="1:2" x14ac:dyDescent="0.25">
      <c r="A42" t="s">
        <v>354</v>
      </c>
      <c r="B42" s="56">
        <v>300000</v>
      </c>
    </row>
    <row r="43" spans="1:2" x14ac:dyDescent="0.25">
      <c r="A43" t="s">
        <v>352</v>
      </c>
      <c r="B43" s="56">
        <v>100000</v>
      </c>
    </row>
    <row r="44" spans="1:2" x14ac:dyDescent="0.25">
      <c r="A44" t="s">
        <v>353</v>
      </c>
      <c r="B44" s="56">
        <v>200000</v>
      </c>
    </row>
    <row r="45" spans="1:2" x14ac:dyDescent="0.25">
      <c r="A45" t="s">
        <v>354</v>
      </c>
      <c r="B45" s="56">
        <v>300000</v>
      </c>
    </row>
    <row r="46" spans="1:2" x14ac:dyDescent="0.25">
      <c r="A46" t="s">
        <v>352</v>
      </c>
      <c r="B46" s="56">
        <v>100000</v>
      </c>
    </row>
    <row r="47" spans="1:2" x14ac:dyDescent="0.25">
      <c r="A47" t="s">
        <v>353</v>
      </c>
      <c r="B47" s="56">
        <v>200000</v>
      </c>
    </row>
    <row r="48" spans="1:2" x14ac:dyDescent="0.25">
      <c r="A48" t="s">
        <v>354</v>
      </c>
      <c r="B48" s="56">
        <v>300000</v>
      </c>
    </row>
    <row r="49" spans="1:2" x14ac:dyDescent="0.25">
      <c r="A49" t="s">
        <v>352</v>
      </c>
      <c r="B49" s="56">
        <v>100000</v>
      </c>
    </row>
    <row r="50" spans="1:2" x14ac:dyDescent="0.25">
      <c r="A50" t="s">
        <v>353</v>
      </c>
      <c r="B50" s="56">
        <v>200000</v>
      </c>
    </row>
    <row r="51" spans="1:2" x14ac:dyDescent="0.25">
      <c r="A51" t="s">
        <v>354</v>
      </c>
      <c r="B51" s="56">
        <v>300000</v>
      </c>
    </row>
    <row r="52" spans="1:2" x14ac:dyDescent="0.25">
      <c r="A52" t="s">
        <v>352</v>
      </c>
      <c r="B52" s="56">
        <v>100000</v>
      </c>
    </row>
    <row r="53" spans="1:2" x14ac:dyDescent="0.25">
      <c r="A53" t="s">
        <v>353</v>
      </c>
      <c r="B53" s="56">
        <v>200000</v>
      </c>
    </row>
    <row r="54" spans="1:2" x14ac:dyDescent="0.25">
      <c r="A54" t="s">
        <v>354</v>
      </c>
      <c r="B54" s="56">
        <v>300000</v>
      </c>
    </row>
    <row r="55" spans="1:2" x14ac:dyDescent="0.25">
      <c r="A55" t="s">
        <v>352</v>
      </c>
      <c r="B55" s="56">
        <v>100000</v>
      </c>
    </row>
    <row r="56" spans="1:2" x14ac:dyDescent="0.25">
      <c r="A56" t="s">
        <v>353</v>
      </c>
      <c r="B56" s="56">
        <v>200000</v>
      </c>
    </row>
    <row r="57" spans="1:2" x14ac:dyDescent="0.25">
      <c r="A57" t="s">
        <v>354</v>
      </c>
      <c r="B57" s="56">
        <v>300000</v>
      </c>
    </row>
    <row r="58" spans="1:2" x14ac:dyDescent="0.25">
      <c r="A58" t="s">
        <v>352</v>
      </c>
      <c r="B58" s="56">
        <v>100000</v>
      </c>
    </row>
    <row r="59" spans="1:2" x14ac:dyDescent="0.25">
      <c r="A59" t="s">
        <v>353</v>
      </c>
      <c r="B59" s="56">
        <v>200000</v>
      </c>
    </row>
    <row r="60" spans="1:2" x14ac:dyDescent="0.25">
      <c r="A60" t="s">
        <v>354</v>
      </c>
      <c r="B60" s="56">
        <v>300000</v>
      </c>
    </row>
    <row r="61" spans="1:2" x14ac:dyDescent="0.25">
      <c r="A61" t="s">
        <v>352</v>
      </c>
      <c r="B61" s="56">
        <v>100000</v>
      </c>
    </row>
    <row r="62" spans="1:2" x14ac:dyDescent="0.25">
      <c r="A62" t="s">
        <v>353</v>
      </c>
      <c r="B62" s="56">
        <v>200000</v>
      </c>
    </row>
    <row r="63" spans="1:2" x14ac:dyDescent="0.25">
      <c r="A63" t="s">
        <v>354</v>
      </c>
      <c r="B63" s="56">
        <v>300000</v>
      </c>
    </row>
    <row r="64" spans="1:2" x14ac:dyDescent="0.25">
      <c r="A64" t="s">
        <v>352</v>
      </c>
      <c r="B64" s="56">
        <v>100000</v>
      </c>
    </row>
    <row r="65" spans="1:2" x14ac:dyDescent="0.25">
      <c r="A65" t="s">
        <v>353</v>
      </c>
      <c r="B65" s="56">
        <v>200000</v>
      </c>
    </row>
    <row r="66" spans="1:2" x14ac:dyDescent="0.25">
      <c r="A66" t="s">
        <v>354</v>
      </c>
      <c r="B66" s="56">
        <v>300000</v>
      </c>
    </row>
    <row r="67" spans="1:2" x14ac:dyDescent="0.25">
      <c r="A67" t="s">
        <v>352</v>
      </c>
      <c r="B67" s="56">
        <v>100000</v>
      </c>
    </row>
    <row r="68" spans="1:2" x14ac:dyDescent="0.25">
      <c r="A68" t="s">
        <v>353</v>
      </c>
      <c r="B68" s="56">
        <v>200000</v>
      </c>
    </row>
    <row r="69" spans="1:2" x14ac:dyDescent="0.25">
      <c r="A69" t="s">
        <v>354</v>
      </c>
      <c r="B69" s="56">
        <v>300000</v>
      </c>
    </row>
    <row r="70" spans="1:2" x14ac:dyDescent="0.25">
      <c r="A70" t="s">
        <v>352</v>
      </c>
      <c r="B70" s="56">
        <v>100000</v>
      </c>
    </row>
    <row r="71" spans="1:2" x14ac:dyDescent="0.25">
      <c r="A71" t="s">
        <v>353</v>
      </c>
      <c r="B71" s="56">
        <v>200000</v>
      </c>
    </row>
    <row r="72" spans="1:2" x14ac:dyDescent="0.25">
      <c r="A72" t="s">
        <v>354</v>
      </c>
      <c r="B72" s="56">
        <v>300000</v>
      </c>
    </row>
    <row r="73" spans="1:2" x14ac:dyDescent="0.25">
      <c r="A73" t="s">
        <v>352</v>
      </c>
      <c r="B73" s="56">
        <v>100000</v>
      </c>
    </row>
    <row r="74" spans="1:2" x14ac:dyDescent="0.25">
      <c r="A74" t="s">
        <v>353</v>
      </c>
      <c r="B74" s="56">
        <v>200000</v>
      </c>
    </row>
    <row r="75" spans="1:2" x14ac:dyDescent="0.25">
      <c r="A75" t="s">
        <v>354</v>
      </c>
      <c r="B75" s="56">
        <v>300000</v>
      </c>
    </row>
    <row r="76" spans="1:2" x14ac:dyDescent="0.25">
      <c r="A76" t="s">
        <v>352</v>
      </c>
      <c r="B76" s="56">
        <v>100000</v>
      </c>
    </row>
    <row r="77" spans="1:2" x14ac:dyDescent="0.25">
      <c r="A77" t="s">
        <v>353</v>
      </c>
      <c r="B77" s="56">
        <v>200000</v>
      </c>
    </row>
    <row r="78" spans="1:2" x14ac:dyDescent="0.25">
      <c r="A78" t="s">
        <v>354</v>
      </c>
      <c r="B78" s="56">
        <v>300000</v>
      </c>
    </row>
    <row r="79" spans="1:2" x14ac:dyDescent="0.25">
      <c r="A79" t="s">
        <v>352</v>
      </c>
      <c r="B79" s="56">
        <v>100000</v>
      </c>
    </row>
    <row r="80" spans="1:2" x14ac:dyDescent="0.25">
      <c r="A80" t="s">
        <v>353</v>
      </c>
      <c r="B80" s="56">
        <v>200000</v>
      </c>
    </row>
    <row r="81" spans="1:2" x14ac:dyDescent="0.25">
      <c r="A81" t="s">
        <v>354</v>
      </c>
      <c r="B81" s="56">
        <v>300000</v>
      </c>
    </row>
    <row r="82" spans="1:2" x14ac:dyDescent="0.25">
      <c r="A82" t="s">
        <v>352</v>
      </c>
      <c r="B82" s="56">
        <v>100000</v>
      </c>
    </row>
    <row r="83" spans="1:2" x14ac:dyDescent="0.25">
      <c r="A83" t="s">
        <v>353</v>
      </c>
      <c r="B83" s="56">
        <v>200000</v>
      </c>
    </row>
    <row r="84" spans="1:2" x14ac:dyDescent="0.25">
      <c r="A84" t="s">
        <v>354</v>
      </c>
      <c r="B84" s="56">
        <v>300000</v>
      </c>
    </row>
    <row r="85" spans="1:2" x14ac:dyDescent="0.25">
      <c r="A85" t="s">
        <v>352</v>
      </c>
      <c r="B85" s="56">
        <v>100000</v>
      </c>
    </row>
    <row r="86" spans="1:2" x14ac:dyDescent="0.25">
      <c r="A86" t="s">
        <v>353</v>
      </c>
      <c r="B86" s="56">
        <v>200000</v>
      </c>
    </row>
    <row r="87" spans="1:2" x14ac:dyDescent="0.25">
      <c r="A87" t="s">
        <v>354</v>
      </c>
      <c r="B87" s="56">
        <v>300000</v>
      </c>
    </row>
    <row r="88" spans="1:2" x14ac:dyDescent="0.25">
      <c r="A88" t="s">
        <v>352</v>
      </c>
      <c r="B88" s="56">
        <v>100000</v>
      </c>
    </row>
    <row r="89" spans="1:2" x14ac:dyDescent="0.25">
      <c r="A89" t="s">
        <v>353</v>
      </c>
      <c r="B89" s="56">
        <v>200000</v>
      </c>
    </row>
    <row r="90" spans="1:2" x14ac:dyDescent="0.25">
      <c r="A90" t="s">
        <v>354</v>
      </c>
      <c r="B90" s="56">
        <v>300000</v>
      </c>
    </row>
    <row r="91" spans="1:2" x14ac:dyDescent="0.25">
      <c r="A91" t="s">
        <v>352</v>
      </c>
      <c r="B91" s="56">
        <v>100000</v>
      </c>
    </row>
    <row r="92" spans="1:2" x14ac:dyDescent="0.25">
      <c r="A92" t="s">
        <v>353</v>
      </c>
      <c r="B92" s="56">
        <v>200000</v>
      </c>
    </row>
    <row r="93" spans="1:2" x14ac:dyDescent="0.25">
      <c r="A93" t="s">
        <v>354</v>
      </c>
      <c r="B93" s="56">
        <v>300000</v>
      </c>
    </row>
    <row r="94" spans="1:2" x14ac:dyDescent="0.25">
      <c r="A94" t="s">
        <v>352</v>
      </c>
      <c r="B94" s="56">
        <v>100000</v>
      </c>
    </row>
    <row r="95" spans="1:2" x14ac:dyDescent="0.25">
      <c r="A95" t="s">
        <v>353</v>
      </c>
      <c r="B95" s="56">
        <v>200000</v>
      </c>
    </row>
    <row r="96" spans="1:2" x14ac:dyDescent="0.25">
      <c r="A96" t="s">
        <v>354</v>
      </c>
      <c r="B96" s="56">
        <v>300000</v>
      </c>
    </row>
    <row r="97" spans="1:2" x14ac:dyDescent="0.25">
      <c r="A97" t="s">
        <v>352</v>
      </c>
      <c r="B97" s="56">
        <v>100000</v>
      </c>
    </row>
    <row r="98" spans="1:2" x14ac:dyDescent="0.25">
      <c r="A98" t="s">
        <v>353</v>
      </c>
      <c r="B98" s="56">
        <v>200000</v>
      </c>
    </row>
    <row r="99" spans="1:2" x14ac:dyDescent="0.25">
      <c r="A99" t="s">
        <v>354</v>
      </c>
      <c r="B99" s="56">
        <v>300000</v>
      </c>
    </row>
    <row r="100" spans="1:2" x14ac:dyDescent="0.25">
      <c r="A100" t="s">
        <v>352</v>
      </c>
      <c r="B100" s="56">
        <v>100000</v>
      </c>
    </row>
    <row r="101" spans="1:2" x14ac:dyDescent="0.25">
      <c r="A101" t="s">
        <v>353</v>
      </c>
      <c r="B101" s="56">
        <v>200000</v>
      </c>
    </row>
    <row r="102" spans="1:2" x14ac:dyDescent="0.25">
      <c r="A102" t="s">
        <v>354</v>
      </c>
      <c r="B102" s="56">
        <v>300000</v>
      </c>
    </row>
    <row r="103" spans="1:2" x14ac:dyDescent="0.25">
      <c r="A103" t="s">
        <v>352</v>
      </c>
      <c r="B103" s="56">
        <v>100000</v>
      </c>
    </row>
    <row r="104" spans="1:2" x14ac:dyDescent="0.25">
      <c r="A104" t="s">
        <v>353</v>
      </c>
      <c r="B104" s="56">
        <v>200000</v>
      </c>
    </row>
    <row r="105" spans="1:2" x14ac:dyDescent="0.25">
      <c r="A105" t="s">
        <v>354</v>
      </c>
      <c r="B105" s="56">
        <v>300000</v>
      </c>
    </row>
    <row r="106" spans="1:2" x14ac:dyDescent="0.25">
      <c r="A106" t="s">
        <v>352</v>
      </c>
      <c r="B106" s="56">
        <v>100000</v>
      </c>
    </row>
    <row r="107" spans="1:2" x14ac:dyDescent="0.25">
      <c r="A107" t="s">
        <v>353</v>
      </c>
      <c r="B107" s="56">
        <v>200000</v>
      </c>
    </row>
    <row r="108" spans="1:2" x14ac:dyDescent="0.25">
      <c r="A108" t="s">
        <v>354</v>
      </c>
      <c r="B108" s="56">
        <v>300000</v>
      </c>
    </row>
    <row r="109" spans="1:2" x14ac:dyDescent="0.25">
      <c r="A109" t="s">
        <v>352</v>
      </c>
      <c r="B109" s="56">
        <v>100000</v>
      </c>
    </row>
    <row r="110" spans="1:2" x14ac:dyDescent="0.25">
      <c r="A110" t="s">
        <v>353</v>
      </c>
      <c r="B110" s="56">
        <v>200000</v>
      </c>
    </row>
    <row r="111" spans="1:2" x14ac:dyDescent="0.25">
      <c r="A111" t="s">
        <v>354</v>
      </c>
      <c r="B111" s="56">
        <v>300000</v>
      </c>
    </row>
    <row r="112" spans="1:2" x14ac:dyDescent="0.25">
      <c r="A112" t="s">
        <v>352</v>
      </c>
      <c r="B112" s="56">
        <v>100000</v>
      </c>
    </row>
    <row r="113" spans="1:2" x14ac:dyDescent="0.25">
      <c r="A113" t="s">
        <v>353</v>
      </c>
      <c r="B113" s="56">
        <v>200000</v>
      </c>
    </row>
    <row r="114" spans="1:2" x14ac:dyDescent="0.25">
      <c r="A114" t="s">
        <v>354</v>
      </c>
      <c r="B114" s="56">
        <v>300000</v>
      </c>
    </row>
    <row r="115" spans="1:2" x14ac:dyDescent="0.25">
      <c r="A115" t="s">
        <v>352</v>
      </c>
      <c r="B115" s="56">
        <v>100000</v>
      </c>
    </row>
    <row r="116" spans="1:2" x14ac:dyDescent="0.25">
      <c r="A116" t="s">
        <v>353</v>
      </c>
      <c r="B116" s="56">
        <v>200000</v>
      </c>
    </row>
    <row r="117" spans="1:2" x14ac:dyDescent="0.25">
      <c r="A117" t="s">
        <v>354</v>
      </c>
      <c r="B117" s="56">
        <v>300000</v>
      </c>
    </row>
    <row r="118" spans="1:2" x14ac:dyDescent="0.25">
      <c r="A118" t="s">
        <v>352</v>
      </c>
      <c r="B118" s="56">
        <v>100000</v>
      </c>
    </row>
    <row r="119" spans="1:2" x14ac:dyDescent="0.25">
      <c r="A119" t="s">
        <v>353</v>
      </c>
      <c r="B119" s="56">
        <v>200000</v>
      </c>
    </row>
    <row r="120" spans="1:2" x14ac:dyDescent="0.25">
      <c r="A120" t="s">
        <v>354</v>
      </c>
      <c r="B120" s="56">
        <v>300000</v>
      </c>
    </row>
    <row r="121" spans="1:2" x14ac:dyDescent="0.25">
      <c r="A121" t="s">
        <v>352</v>
      </c>
      <c r="B121" s="56">
        <v>100000</v>
      </c>
    </row>
    <row r="122" spans="1:2" x14ac:dyDescent="0.25">
      <c r="A122" t="s">
        <v>353</v>
      </c>
      <c r="B122" s="56">
        <v>200000</v>
      </c>
    </row>
    <row r="123" spans="1:2" x14ac:dyDescent="0.25">
      <c r="A123" t="s">
        <v>354</v>
      </c>
      <c r="B123" s="56">
        <v>300000</v>
      </c>
    </row>
    <row r="124" spans="1:2" x14ac:dyDescent="0.25">
      <c r="A124" t="s">
        <v>352</v>
      </c>
      <c r="B124" s="56">
        <v>100000</v>
      </c>
    </row>
    <row r="125" spans="1:2" x14ac:dyDescent="0.25">
      <c r="A125" t="s">
        <v>353</v>
      </c>
      <c r="B125" s="56">
        <v>200000</v>
      </c>
    </row>
    <row r="126" spans="1:2" x14ac:dyDescent="0.25">
      <c r="A126" t="s">
        <v>354</v>
      </c>
      <c r="B126" s="56">
        <v>300000</v>
      </c>
    </row>
    <row r="127" spans="1:2" x14ac:dyDescent="0.25">
      <c r="A127" t="s">
        <v>352</v>
      </c>
      <c r="B127" s="56">
        <v>100000</v>
      </c>
    </row>
    <row r="128" spans="1:2" x14ac:dyDescent="0.25">
      <c r="A128" t="s">
        <v>353</v>
      </c>
      <c r="B128" s="56">
        <v>200000</v>
      </c>
    </row>
    <row r="129" spans="1:2" x14ac:dyDescent="0.25">
      <c r="A129" t="s">
        <v>354</v>
      </c>
      <c r="B129" s="56">
        <v>300000</v>
      </c>
    </row>
    <row r="130" spans="1:2" x14ac:dyDescent="0.25">
      <c r="A130" t="s">
        <v>352</v>
      </c>
      <c r="B130" s="56">
        <v>100000</v>
      </c>
    </row>
    <row r="131" spans="1:2" x14ac:dyDescent="0.25">
      <c r="A131" t="s">
        <v>353</v>
      </c>
      <c r="B131" s="56">
        <v>200000</v>
      </c>
    </row>
    <row r="132" spans="1:2" x14ac:dyDescent="0.25">
      <c r="A132" t="s">
        <v>354</v>
      </c>
      <c r="B132" s="56">
        <v>300000</v>
      </c>
    </row>
    <row r="133" spans="1:2" x14ac:dyDescent="0.25">
      <c r="A133" t="s">
        <v>352</v>
      </c>
      <c r="B133" s="56">
        <v>100000</v>
      </c>
    </row>
    <row r="134" spans="1:2" x14ac:dyDescent="0.25">
      <c r="A134" t="s">
        <v>353</v>
      </c>
      <c r="B134" s="56">
        <v>200000</v>
      </c>
    </row>
    <row r="135" spans="1:2" x14ac:dyDescent="0.25">
      <c r="A135" t="s">
        <v>354</v>
      </c>
      <c r="B135" s="56">
        <v>300000</v>
      </c>
    </row>
    <row r="136" spans="1:2" x14ac:dyDescent="0.25">
      <c r="A136" t="s">
        <v>352</v>
      </c>
      <c r="B136" s="56">
        <v>100000</v>
      </c>
    </row>
    <row r="137" spans="1:2" x14ac:dyDescent="0.25">
      <c r="A137" t="s">
        <v>353</v>
      </c>
      <c r="B137" s="56">
        <v>200000</v>
      </c>
    </row>
    <row r="138" spans="1:2" x14ac:dyDescent="0.25">
      <c r="A138" t="s">
        <v>354</v>
      </c>
      <c r="B138" s="56">
        <v>300000</v>
      </c>
    </row>
    <row r="139" spans="1:2" x14ac:dyDescent="0.25">
      <c r="A139" t="s">
        <v>352</v>
      </c>
      <c r="B139" s="56">
        <v>100000</v>
      </c>
    </row>
    <row r="140" spans="1:2" x14ac:dyDescent="0.25">
      <c r="A140" t="s">
        <v>353</v>
      </c>
      <c r="B140" s="56">
        <v>200000</v>
      </c>
    </row>
    <row r="141" spans="1:2" x14ac:dyDescent="0.25">
      <c r="A141" t="s">
        <v>354</v>
      </c>
      <c r="B141" s="56">
        <v>300000</v>
      </c>
    </row>
    <row r="142" spans="1:2" x14ac:dyDescent="0.25">
      <c r="A142" t="s">
        <v>352</v>
      </c>
      <c r="B142" s="56">
        <v>100000</v>
      </c>
    </row>
    <row r="143" spans="1:2" x14ac:dyDescent="0.25">
      <c r="A143" t="s">
        <v>353</v>
      </c>
      <c r="B143" s="56">
        <v>200000</v>
      </c>
    </row>
    <row r="144" spans="1:2" x14ac:dyDescent="0.25">
      <c r="A144" t="s">
        <v>354</v>
      </c>
      <c r="B144" s="56">
        <v>300000</v>
      </c>
    </row>
    <row r="145" spans="1:2" x14ac:dyDescent="0.25">
      <c r="A145" t="s">
        <v>352</v>
      </c>
      <c r="B145" s="56">
        <v>100000</v>
      </c>
    </row>
    <row r="146" spans="1:2" x14ac:dyDescent="0.25">
      <c r="A146" t="s">
        <v>353</v>
      </c>
      <c r="B146" s="56">
        <v>200000</v>
      </c>
    </row>
    <row r="147" spans="1:2" x14ac:dyDescent="0.25">
      <c r="A147" t="s">
        <v>354</v>
      </c>
      <c r="B147" s="56">
        <v>300000</v>
      </c>
    </row>
    <row r="148" spans="1:2" x14ac:dyDescent="0.25">
      <c r="A148" t="s">
        <v>352</v>
      </c>
      <c r="B148" s="56">
        <v>100000</v>
      </c>
    </row>
    <row r="149" spans="1:2" x14ac:dyDescent="0.25">
      <c r="A149" t="s">
        <v>353</v>
      </c>
      <c r="B149" s="56">
        <v>200000</v>
      </c>
    </row>
    <row r="150" spans="1:2" x14ac:dyDescent="0.25">
      <c r="A150" t="s">
        <v>354</v>
      </c>
      <c r="B150" s="56">
        <v>300000</v>
      </c>
    </row>
    <row r="151" spans="1:2" x14ac:dyDescent="0.25">
      <c r="A151" t="s">
        <v>352</v>
      </c>
      <c r="B151" s="56">
        <v>100000</v>
      </c>
    </row>
    <row r="152" spans="1:2" x14ac:dyDescent="0.25">
      <c r="A152" t="s">
        <v>353</v>
      </c>
      <c r="B152" s="56">
        <v>200000</v>
      </c>
    </row>
    <row r="153" spans="1:2" x14ac:dyDescent="0.25">
      <c r="A153" t="s">
        <v>354</v>
      </c>
      <c r="B153" s="56">
        <v>300000</v>
      </c>
    </row>
    <row r="154" spans="1:2" x14ac:dyDescent="0.25">
      <c r="A154" t="s">
        <v>352</v>
      </c>
      <c r="B154" s="56">
        <v>100000</v>
      </c>
    </row>
    <row r="155" spans="1:2" x14ac:dyDescent="0.25">
      <c r="A155" t="s">
        <v>353</v>
      </c>
      <c r="B155" s="56">
        <v>200000</v>
      </c>
    </row>
    <row r="156" spans="1:2" x14ac:dyDescent="0.25">
      <c r="A156" t="s">
        <v>354</v>
      </c>
      <c r="B156" s="56">
        <v>300000</v>
      </c>
    </row>
    <row r="157" spans="1:2" x14ac:dyDescent="0.25">
      <c r="A157" t="s">
        <v>352</v>
      </c>
      <c r="B157" s="56">
        <v>100000</v>
      </c>
    </row>
    <row r="158" spans="1:2" x14ac:dyDescent="0.25">
      <c r="A158" t="s">
        <v>353</v>
      </c>
      <c r="B158" s="56">
        <v>200000</v>
      </c>
    </row>
    <row r="159" spans="1:2" x14ac:dyDescent="0.25">
      <c r="A159" t="s">
        <v>354</v>
      </c>
      <c r="B159" s="56">
        <v>300000</v>
      </c>
    </row>
    <row r="160" spans="1:2" x14ac:dyDescent="0.25">
      <c r="A160" t="s">
        <v>352</v>
      </c>
      <c r="B160" s="56">
        <v>100000</v>
      </c>
    </row>
    <row r="161" spans="1:2" x14ac:dyDescent="0.25">
      <c r="A161" t="s">
        <v>353</v>
      </c>
      <c r="B161" s="56">
        <v>200000</v>
      </c>
    </row>
    <row r="162" spans="1:2" x14ac:dyDescent="0.25">
      <c r="A162" t="s">
        <v>354</v>
      </c>
      <c r="B162" s="56">
        <v>300000</v>
      </c>
    </row>
    <row r="163" spans="1:2" x14ac:dyDescent="0.25">
      <c r="A163" t="s">
        <v>352</v>
      </c>
      <c r="B163" s="56">
        <v>100000</v>
      </c>
    </row>
    <row r="164" spans="1:2" x14ac:dyDescent="0.25">
      <c r="A164" t="s">
        <v>353</v>
      </c>
      <c r="B164" s="56">
        <v>200000</v>
      </c>
    </row>
    <row r="165" spans="1:2" x14ac:dyDescent="0.25">
      <c r="A165" t="s">
        <v>354</v>
      </c>
      <c r="B165" s="56">
        <v>300000</v>
      </c>
    </row>
    <row r="166" spans="1:2" x14ac:dyDescent="0.25">
      <c r="A166" t="s">
        <v>352</v>
      </c>
      <c r="B166" s="56">
        <v>100000</v>
      </c>
    </row>
    <row r="167" spans="1:2" x14ac:dyDescent="0.25">
      <c r="A167" t="s">
        <v>353</v>
      </c>
      <c r="B167" s="56">
        <v>200000</v>
      </c>
    </row>
    <row r="168" spans="1:2" x14ac:dyDescent="0.25">
      <c r="A168" t="s">
        <v>354</v>
      </c>
      <c r="B168" s="56">
        <v>300000</v>
      </c>
    </row>
    <row r="169" spans="1:2" x14ac:dyDescent="0.25">
      <c r="A169" t="s">
        <v>352</v>
      </c>
      <c r="B169" s="56">
        <v>100000</v>
      </c>
    </row>
    <row r="170" spans="1:2" x14ac:dyDescent="0.25">
      <c r="A170" t="s">
        <v>353</v>
      </c>
      <c r="B170" s="56">
        <v>200000</v>
      </c>
    </row>
    <row r="171" spans="1:2" x14ac:dyDescent="0.25">
      <c r="A171" t="s">
        <v>354</v>
      </c>
      <c r="B171" s="56">
        <v>300000</v>
      </c>
    </row>
    <row r="172" spans="1:2" x14ac:dyDescent="0.25">
      <c r="A172" t="s">
        <v>352</v>
      </c>
      <c r="B172" s="56">
        <v>100000</v>
      </c>
    </row>
    <row r="173" spans="1:2" x14ac:dyDescent="0.25">
      <c r="A173" t="s">
        <v>353</v>
      </c>
      <c r="B173" s="56">
        <v>200000</v>
      </c>
    </row>
    <row r="174" spans="1:2" x14ac:dyDescent="0.25">
      <c r="A174" t="s">
        <v>354</v>
      </c>
      <c r="B174" s="56">
        <v>300000</v>
      </c>
    </row>
    <row r="175" spans="1:2" x14ac:dyDescent="0.25">
      <c r="A175" t="s">
        <v>352</v>
      </c>
      <c r="B175" s="56">
        <v>100000</v>
      </c>
    </row>
    <row r="176" spans="1:2" x14ac:dyDescent="0.25">
      <c r="A176" t="s">
        <v>353</v>
      </c>
      <c r="B176" s="56">
        <v>200000</v>
      </c>
    </row>
    <row r="177" spans="1:2" x14ac:dyDescent="0.25">
      <c r="A177" t="s">
        <v>354</v>
      </c>
      <c r="B177" s="56">
        <v>300000</v>
      </c>
    </row>
    <row r="178" spans="1:2" x14ac:dyDescent="0.25">
      <c r="A178" t="s">
        <v>352</v>
      </c>
      <c r="B178" s="56">
        <v>100000</v>
      </c>
    </row>
    <row r="179" spans="1:2" x14ac:dyDescent="0.25">
      <c r="A179" t="s">
        <v>353</v>
      </c>
      <c r="B179" s="56">
        <v>200000</v>
      </c>
    </row>
    <row r="180" spans="1:2" x14ac:dyDescent="0.25">
      <c r="A180" t="s">
        <v>354</v>
      </c>
      <c r="B180" s="56">
        <v>300000</v>
      </c>
    </row>
    <row r="181" spans="1:2" x14ac:dyDescent="0.25">
      <c r="A181" t="s">
        <v>352</v>
      </c>
      <c r="B181" s="56">
        <v>100000</v>
      </c>
    </row>
    <row r="182" spans="1:2" x14ac:dyDescent="0.25">
      <c r="A182" t="s">
        <v>353</v>
      </c>
      <c r="B182" s="56">
        <v>200000</v>
      </c>
    </row>
    <row r="183" spans="1:2" x14ac:dyDescent="0.25">
      <c r="A183" t="s">
        <v>354</v>
      </c>
      <c r="B183" s="56">
        <v>300000</v>
      </c>
    </row>
    <row r="184" spans="1:2" x14ac:dyDescent="0.25">
      <c r="A184" t="s">
        <v>352</v>
      </c>
      <c r="B184" s="56">
        <v>100000</v>
      </c>
    </row>
    <row r="185" spans="1:2" x14ac:dyDescent="0.25">
      <c r="A185" t="s">
        <v>353</v>
      </c>
      <c r="B185" s="56">
        <v>200000</v>
      </c>
    </row>
    <row r="186" spans="1:2" x14ac:dyDescent="0.25">
      <c r="A186" t="s">
        <v>354</v>
      </c>
      <c r="B186" s="56">
        <v>300000</v>
      </c>
    </row>
    <row r="187" spans="1:2" x14ac:dyDescent="0.25">
      <c r="A187" t="s">
        <v>352</v>
      </c>
      <c r="B187" s="56">
        <v>100000</v>
      </c>
    </row>
    <row r="188" spans="1:2" x14ac:dyDescent="0.25">
      <c r="A188" t="s">
        <v>353</v>
      </c>
      <c r="B188" s="56">
        <v>200000</v>
      </c>
    </row>
    <row r="189" spans="1:2" x14ac:dyDescent="0.25">
      <c r="A189" t="s">
        <v>354</v>
      </c>
      <c r="B189" s="56">
        <v>300000</v>
      </c>
    </row>
    <row r="190" spans="1:2" x14ac:dyDescent="0.25">
      <c r="A190" t="s">
        <v>352</v>
      </c>
      <c r="B190" s="56">
        <v>100000</v>
      </c>
    </row>
    <row r="191" spans="1:2" x14ac:dyDescent="0.25">
      <c r="A191" t="s">
        <v>353</v>
      </c>
      <c r="B191" s="56">
        <v>200000</v>
      </c>
    </row>
    <row r="192" spans="1:2" x14ac:dyDescent="0.25">
      <c r="A192" t="s">
        <v>354</v>
      </c>
      <c r="B192" s="56">
        <v>300000</v>
      </c>
    </row>
    <row r="193" spans="1:2" x14ac:dyDescent="0.25">
      <c r="A193" t="s">
        <v>352</v>
      </c>
      <c r="B193" s="56">
        <v>100000</v>
      </c>
    </row>
    <row r="194" spans="1:2" x14ac:dyDescent="0.25">
      <c r="A194" t="s">
        <v>353</v>
      </c>
      <c r="B194" s="56">
        <v>200000</v>
      </c>
    </row>
    <row r="195" spans="1:2" x14ac:dyDescent="0.25">
      <c r="A195" t="s">
        <v>354</v>
      </c>
      <c r="B195" s="56">
        <v>300000</v>
      </c>
    </row>
    <row r="196" spans="1:2" x14ac:dyDescent="0.25">
      <c r="A196" t="s">
        <v>352</v>
      </c>
      <c r="B196" s="56">
        <v>100000</v>
      </c>
    </row>
    <row r="197" spans="1:2" x14ac:dyDescent="0.25">
      <c r="A197" t="s">
        <v>353</v>
      </c>
      <c r="B197" s="56">
        <v>200000</v>
      </c>
    </row>
    <row r="198" spans="1:2" x14ac:dyDescent="0.25">
      <c r="A198" t="s">
        <v>354</v>
      </c>
      <c r="B198" s="56">
        <v>300000</v>
      </c>
    </row>
    <row r="199" spans="1:2" x14ac:dyDescent="0.25">
      <c r="A199" t="s">
        <v>352</v>
      </c>
      <c r="B199" s="56">
        <v>100000</v>
      </c>
    </row>
    <row r="200" spans="1:2" x14ac:dyDescent="0.25">
      <c r="A200" t="s">
        <v>353</v>
      </c>
      <c r="B200" s="56">
        <v>200000</v>
      </c>
    </row>
    <row r="201" spans="1:2" x14ac:dyDescent="0.25">
      <c r="A201" t="s">
        <v>354</v>
      </c>
      <c r="B201" s="56">
        <v>300000</v>
      </c>
    </row>
    <row r="202" spans="1:2" x14ac:dyDescent="0.25">
      <c r="A202" t="s">
        <v>352</v>
      </c>
      <c r="B202" s="56">
        <v>100000</v>
      </c>
    </row>
    <row r="203" spans="1:2" x14ac:dyDescent="0.25">
      <c r="A203" t="s">
        <v>353</v>
      </c>
      <c r="B203" s="56">
        <v>200000</v>
      </c>
    </row>
    <row r="204" spans="1:2" x14ac:dyDescent="0.25">
      <c r="A204" t="s">
        <v>354</v>
      </c>
      <c r="B204" s="56">
        <v>300000</v>
      </c>
    </row>
    <row r="205" spans="1:2" x14ac:dyDescent="0.25">
      <c r="A205" t="s">
        <v>352</v>
      </c>
      <c r="B205" s="56">
        <v>100000</v>
      </c>
    </row>
    <row r="206" spans="1:2" x14ac:dyDescent="0.25">
      <c r="A206" t="s">
        <v>353</v>
      </c>
      <c r="B206" s="56">
        <v>200000</v>
      </c>
    </row>
    <row r="207" spans="1:2" x14ac:dyDescent="0.25">
      <c r="A207" t="s">
        <v>354</v>
      </c>
      <c r="B207" s="56">
        <v>300000</v>
      </c>
    </row>
    <row r="208" spans="1:2" x14ac:dyDescent="0.25">
      <c r="A208" t="s">
        <v>352</v>
      </c>
      <c r="B208" s="56">
        <v>100000</v>
      </c>
    </row>
    <row r="209" spans="1:2" x14ac:dyDescent="0.25">
      <c r="A209" t="s">
        <v>353</v>
      </c>
      <c r="B209" s="56">
        <v>200000</v>
      </c>
    </row>
    <row r="210" spans="1:2" x14ac:dyDescent="0.25">
      <c r="A210" t="s">
        <v>354</v>
      </c>
      <c r="B210" s="56">
        <v>300000</v>
      </c>
    </row>
    <row r="211" spans="1:2" x14ac:dyDescent="0.25">
      <c r="A211" t="s">
        <v>352</v>
      </c>
      <c r="B211" s="56">
        <v>100000</v>
      </c>
    </row>
    <row r="212" spans="1:2" x14ac:dyDescent="0.25">
      <c r="A212" t="s">
        <v>353</v>
      </c>
      <c r="B212" s="56">
        <v>200000</v>
      </c>
    </row>
    <row r="213" spans="1:2" x14ac:dyDescent="0.25">
      <c r="A213" t="s">
        <v>354</v>
      </c>
      <c r="B213" s="56">
        <v>300000</v>
      </c>
    </row>
    <row r="214" spans="1:2" x14ac:dyDescent="0.25">
      <c r="A214" t="s">
        <v>352</v>
      </c>
      <c r="B214" s="56">
        <v>100000</v>
      </c>
    </row>
    <row r="215" spans="1:2" x14ac:dyDescent="0.25">
      <c r="A215" t="s">
        <v>353</v>
      </c>
      <c r="B215" s="56">
        <v>200000</v>
      </c>
    </row>
    <row r="216" spans="1:2" x14ac:dyDescent="0.25">
      <c r="A216" t="s">
        <v>354</v>
      </c>
      <c r="B216" s="56">
        <v>300000</v>
      </c>
    </row>
    <row r="217" spans="1:2" x14ac:dyDescent="0.25">
      <c r="A217" t="s">
        <v>352</v>
      </c>
      <c r="B217" s="56">
        <v>100000</v>
      </c>
    </row>
    <row r="218" spans="1:2" x14ac:dyDescent="0.25">
      <c r="A218" t="s">
        <v>353</v>
      </c>
      <c r="B218" s="56">
        <v>200000</v>
      </c>
    </row>
    <row r="219" spans="1:2" x14ac:dyDescent="0.25">
      <c r="A219" t="s">
        <v>354</v>
      </c>
      <c r="B219" s="56">
        <v>300000</v>
      </c>
    </row>
    <row r="220" spans="1:2" x14ac:dyDescent="0.25">
      <c r="A220" t="s">
        <v>352</v>
      </c>
      <c r="B220" s="56">
        <v>100000</v>
      </c>
    </row>
    <row r="221" spans="1:2" x14ac:dyDescent="0.25">
      <c r="A221" t="s">
        <v>353</v>
      </c>
      <c r="B221" s="56">
        <v>200000</v>
      </c>
    </row>
    <row r="222" spans="1:2" x14ac:dyDescent="0.25">
      <c r="A222" t="s">
        <v>354</v>
      </c>
      <c r="B222" s="56">
        <v>300000</v>
      </c>
    </row>
    <row r="223" spans="1:2" x14ac:dyDescent="0.25">
      <c r="A223" t="s">
        <v>352</v>
      </c>
      <c r="B223" s="56">
        <v>100000</v>
      </c>
    </row>
    <row r="224" spans="1:2" x14ac:dyDescent="0.25">
      <c r="A224" t="s">
        <v>353</v>
      </c>
      <c r="B224" s="56">
        <v>200000</v>
      </c>
    </row>
    <row r="225" spans="1:2" x14ac:dyDescent="0.25">
      <c r="A225" t="s">
        <v>354</v>
      </c>
      <c r="B225" s="56">
        <v>300000</v>
      </c>
    </row>
    <row r="226" spans="1:2" x14ac:dyDescent="0.25">
      <c r="A226" t="s">
        <v>352</v>
      </c>
      <c r="B226" s="56">
        <v>100000</v>
      </c>
    </row>
    <row r="227" spans="1:2" x14ac:dyDescent="0.25">
      <c r="A227" t="s">
        <v>353</v>
      </c>
      <c r="B227" s="56">
        <v>200000</v>
      </c>
    </row>
    <row r="228" spans="1:2" x14ac:dyDescent="0.25">
      <c r="A228" t="s">
        <v>354</v>
      </c>
      <c r="B228" s="56">
        <v>300000</v>
      </c>
    </row>
    <row r="229" spans="1:2" x14ac:dyDescent="0.25">
      <c r="A229" t="s">
        <v>352</v>
      </c>
      <c r="B229" s="56">
        <v>100000</v>
      </c>
    </row>
    <row r="230" spans="1:2" x14ac:dyDescent="0.25">
      <c r="A230" t="s">
        <v>353</v>
      </c>
      <c r="B230" s="56">
        <v>200000</v>
      </c>
    </row>
    <row r="231" spans="1:2" x14ac:dyDescent="0.25">
      <c r="A231" t="s">
        <v>354</v>
      </c>
      <c r="B231" s="56">
        <v>300000</v>
      </c>
    </row>
    <row r="232" spans="1:2" x14ac:dyDescent="0.25">
      <c r="A232" t="s">
        <v>352</v>
      </c>
      <c r="B232" s="56">
        <v>100000</v>
      </c>
    </row>
    <row r="233" spans="1:2" x14ac:dyDescent="0.25">
      <c r="A233" t="s">
        <v>353</v>
      </c>
      <c r="B233" s="56">
        <v>200000</v>
      </c>
    </row>
    <row r="234" spans="1:2" x14ac:dyDescent="0.25">
      <c r="A234" t="s">
        <v>354</v>
      </c>
      <c r="B234" s="56">
        <v>300000</v>
      </c>
    </row>
    <row r="235" spans="1:2" x14ac:dyDescent="0.25">
      <c r="A235" t="s">
        <v>352</v>
      </c>
      <c r="B235" s="56">
        <v>100000</v>
      </c>
    </row>
    <row r="236" spans="1:2" x14ac:dyDescent="0.25">
      <c r="A236" t="s">
        <v>353</v>
      </c>
      <c r="B236" s="56">
        <v>200000</v>
      </c>
    </row>
    <row r="237" spans="1:2" x14ac:dyDescent="0.25">
      <c r="A237" t="s">
        <v>354</v>
      </c>
      <c r="B237" s="56">
        <v>300000</v>
      </c>
    </row>
    <row r="238" spans="1:2" x14ac:dyDescent="0.25">
      <c r="A238" t="s">
        <v>352</v>
      </c>
      <c r="B238" s="56">
        <v>100000</v>
      </c>
    </row>
    <row r="239" spans="1:2" x14ac:dyDescent="0.25">
      <c r="A239" t="s">
        <v>353</v>
      </c>
      <c r="B239" s="56">
        <v>200000</v>
      </c>
    </row>
    <row r="240" spans="1:2" x14ac:dyDescent="0.25">
      <c r="A240" t="s">
        <v>354</v>
      </c>
      <c r="B240" s="56">
        <v>300000</v>
      </c>
    </row>
    <row r="241" spans="1:2" x14ac:dyDescent="0.25">
      <c r="A241" t="s">
        <v>352</v>
      </c>
      <c r="B241" s="56">
        <v>100000</v>
      </c>
    </row>
    <row r="242" spans="1:2" x14ac:dyDescent="0.25">
      <c r="A242" t="s">
        <v>353</v>
      </c>
      <c r="B242" s="56">
        <v>200000</v>
      </c>
    </row>
    <row r="243" spans="1:2" x14ac:dyDescent="0.25">
      <c r="A243" t="s">
        <v>354</v>
      </c>
      <c r="B243" s="56">
        <v>300000</v>
      </c>
    </row>
    <row r="244" spans="1:2" x14ac:dyDescent="0.25">
      <c r="A244" t="s">
        <v>352</v>
      </c>
      <c r="B244" s="56">
        <v>100000</v>
      </c>
    </row>
    <row r="245" spans="1:2" x14ac:dyDescent="0.25">
      <c r="A245" t="s">
        <v>353</v>
      </c>
      <c r="B245" s="56">
        <v>200000</v>
      </c>
    </row>
    <row r="246" spans="1:2" x14ac:dyDescent="0.25">
      <c r="A246" t="s">
        <v>354</v>
      </c>
      <c r="B246" s="56">
        <v>300000</v>
      </c>
    </row>
    <row r="247" spans="1:2" x14ac:dyDescent="0.25">
      <c r="A247" t="s">
        <v>352</v>
      </c>
      <c r="B247" s="56">
        <v>100000</v>
      </c>
    </row>
    <row r="248" spans="1:2" x14ac:dyDescent="0.25">
      <c r="A248" t="s">
        <v>353</v>
      </c>
      <c r="B248" s="56">
        <v>200000</v>
      </c>
    </row>
    <row r="249" spans="1:2" x14ac:dyDescent="0.25">
      <c r="A249" t="s">
        <v>354</v>
      </c>
      <c r="B249" s="56">
        <v>300000</v>
      </c>
    </row>
    <row r="250" spans="1:2" x14ac:dyDescent="0.25">
      <c r="A250" t="s">
        <v>352</v>
      </c>
      <c r="B250" s="56">
        <v>100000</v>
      </c>
    </row>
    <row r="251" spans="1:2" x14ac:dyDescent="0.25">
      <c r="A251" t="s">
        <v>353</v>
      </c>
      <c r="B251" s="56">
        <v>200000</v>
      </c>
    </row>
    <row r="252" spans="1:2" x14ac:dyDescent="0.25">
      <c r="A252" t="s">
        <v>354</v>
      </c>
      <c r="B252" s="56">
        <v>300000</v>
      </c>
    </row>
    <row r="253" spans="1:2" x14ac:dyDescent="0.25">
      <c r="A253" t="s">
        <v>352</v>
      </c>
      <c r="B253" s="56">
        <v>100000</v>
      </c>
    </row>
    <row r="254" spans="1:2" x14ac:dyDescent="0.25">
      <c r="A254" t="s">
        <v>353</v>
      </c>
      <c r="B254" s="56">
        <v>200000</v>
      </c>
    </row>
    <row r="255" spans="1:2" x14ac:dyDescent="0.25">
      <c r="A255" t="s">
        <v>354</v>
      </c>
      <c r="B255" s="56">
        <v>300000</v>
      </c>
    </row>
    <row r="256" spans="1:2" x14ac:dyDescent="0.25">
      <c r="A256" t="s">
        <v>352</v>
      </c>
      <c r="B256" s="56">
        <v>100000</v>
      </c>
    </row>
    <row r="257" spans="1:2" x14ac:dyDescent="0.25">
      <c r="A257" t="s">
        <v>353</v>
      </c>
      <c r="B257" s="56">
        <v>200000</v>
      </c>
    </row>
    <row r="258" spans="1:2" x14ac:dyDescent="0.25">
      <c r="A258" t="s">
        <v>354</v>
      </c>
      <c r="B258" s="56">
        <v>300000</v>
      </c>
    </row>
    <row r="259" spans="1:2" x14ac:dyDescent="0.25">
      <c r="A259" t="s">
        <v>352</v>
      </c>
      <c r="B259" s="56">
        <v>100000</v>
      </c>
    </row>
    <row r="260" spans="1:2" x14ac:dyDescent="0.25">
      <c r="A260" t="s">
        <v>353</v>
      </c>
      <c r="B260" s="56">
        <v>200000</v>
      </c>
    </row>
    <row r="261" spans="1:2" x14ac:dyDescent="0.25">
      <c r="A261" t="s">
        <v>354</v>
      </c>
      <c r="B261" s="56">
        <v>300000</v>
      </c>
    </row>
    <row r="262" spans="1:2" x14ac:dyDescent="0.25">
      <c r="A262" t="s">
        <v>352</v>
      </c>
      <c r="B262" s="56">
        <v>100000</v>
      </c>
    </row>
    <row r="263" spans="1:2" x14ac:dyDescent="0.25">
      <c r="A263" t="s">
        <v>353</v>
      </c>
      <c r="B263" s="56">
        <v>200000</v>
      </c>
    </row>
    <row r="264" spans="1:2" x14ac:dyDescent="0.25">
      <c r="A264" t="s">
        <v>354</v>
      </c>
      <c r="B264" s="56">
        <v>300000</v>
      </c>
    </row>
    <row r="265" spans="1:2" x14ac:dyDescent="0.25">
      <c r="A265" t="s">
        <v>352</v>
      </c>
      <c r="B265" s="56">
        <v>100000</v>
      </c>
    </row>
    <row r="266" spans="1:2" x14ac:dyDescent="0.25">
      <c r="A266" t="s">
        <v>353</v>
      </c>
      <c r="B266" s="56">
        <v>200000</v>
      </c>
    </row>
    <row r="267" spans="1:2" x14ac:dyDescent="0.25">
      <c r="A267" t="s">
        <v>354</v>
      </c>
      <c r="B267" s="56">
        <v>300000</v>
      </c>
    </row>
    <row r="268" spans="1:2" x14ac:dyDescent="0.25">
      <c r="A268" t="s">
        <v>352</v>
      </c>
      <c r="B268" s="56">
        <v>100000</v>
      </c>
    </row>
    <row r="269" spans="1:2" x14ac:dyDescent="0.25">
      <c r="A269" t="s">
        <v>353</v>
      </c>
      <c r="B269" s="56">
        <v>200000</v>
      </c>
    </row>
    <row r="270" spans="1:2" x14ac:dyDescent="0.25">
      <c r="A270" t="s">
        <v>354</v>
      </c>
      <c r="B270" s="56">
        <v>300000</v>
      </c>
    </row>
    <row r="271" spans="1:2" x14ac:dyDescent="0.25">
      <c r="A271" t="s">
        <v>352</v>
      </c>
      <c r="B271" s="56">
        <v>100000</v>
      </c>
    </row>
    <row r="272" spans="1:2" x14ac:dyDescent="0.25">
      <c r="A272" t="s">
        <v>353</v>
      </c>
      <c r="B272" s="56">
        <v>200000</v>
      </c>
    </row>
    <row r="273" spans="1:2" x14ac:dyDescent="0.25">
      <c r="A273" t="s">
        <v>354</v>
      </c>
      <c r="B273" s="56">
        <v>300000</v>
      </c>
    </row>
    <row r="274" spans="1:2" x14ac:dyDescent="0.25">
      <c r="A274" t="s">
        <v>352</v>
      </c>
      <c r="B274" s="56">
        <v>100000</v>
      </c>
    </row>
    <row r="275" spans="1:2" x14ac:dyDescent="0.25">
      <c r="A275" t="s">
        <v>353</v>
      </c>
      <c r="B275" s="56">
        <v>200000</v>
      </c>
    </row>
    <row r="276" spans="1:2" x14ac:dyDescent="0.25">
      <c r="A276" t="s">
        <v>354</v>
      </c>
      <c r="B276" s="56">
        <v>300000</v>
      </c>
    </row>
    <row r="277" spans="1:2" x14ac:dyDescent="0.25">
      <c r="A277" t="s">
        <v>352</v>
      </c>
      <c r="B277" s="56">
        <v>100000</v>
      </c>
    </row>
    <row r="278" spans="1:2" x14ac:dyDescent="0.25">
      <c r="A278" t="s">
        <v>353</v>
      </c>
      <c r="B278" s="56">
        <v>200000</v>
      </c>
    </row>
    <row r="279" spans="1:2" x14ac:dyDescent="0.25">
      <c r="A279" t="s">
        <v>354</v>
      </c>
      <c r="B279" s="56">
        <v>300000</v>
      </c>
    </row>
    <row r="280" spans="1:2" x14ac:dyDescent="0.25">
      <c r="A280" t="s">
        <v>352</v>
      </c>
      <c r="B280" s="56">
        <v>100000</v>
      </c>
    </row>
    <row r="281" spans="1:2" x14ac:dyDescent="0.25">
      <c r="A281" t="s">
        <v>353</v>
      </c>
      <c r="B281" s="56">
        <v>200000</v>
      </c>
    </row>
    <row r="282" spans="1:2" x14ac:dyDescent="0.25">
      <c r="A282" t="s">
        <v>354</v>
      </c>
      <c r="B282" s="56">
        <v>300000</v>
      </c>
    </row>
    <row r="283" spans="1:2" x14ac:dyDescent="0.25">
      <c r="A283" t="s">
        <v>352</v>
      </c>
      <c r="B283" s="56">
        <v>100000</v>
      </c>
    </row>
    <row r="284" spans="1:2" x14ac:dyDescent="0.25">
      <c r="A284" t="s">
        <v>353</v>
      </c>
      <c r="B284" s="56">
        <v>200000</v>
      </c>
    </row>
    <row r="285" spans="1:2" x14ac:dyDescent="0.25">
      <c r="A285" t="s">
        <v>354</v>
      </c>
      <c r="B285" s="56">
        <v>300000</v>
      </c>
    </row>
    <row r="286" spans="1:2" x14ac:dyDescent="0.25">
      <c r="A286" t="s">
        <v>352</v>
      </c>
      <c r="B286" s="56">
        <v>100000</v>
      </c>
    </row>
    <row r="287" spans="1:2" x14ac:dyDescent="0.25">
      <c r="A287" t="s">
        <v>353</v>
      </c>
      <c r="B287" s="56">
        <v>200000</v>
      </c>
    </row>
    <row r="288" spans="1:2" x14ac:dyDescent="0.25">
      <c r="A288" t="s">
        <v>354</v>
      </c>
      <c r="B288" s="56">
        <v>300000</v>
      </c>
    </row>
    <row r="289" spans="1:2" x14ac:dyDescent="0.25">
      <c r="A289" t="s">
        <v>352</v>
      </c>
      <c r="B289" s="56">
        <v>100000</v>
      </c>
    </row>
    <row r="290" spans="1:2" x14ac:dyDescent="0.25">
      <c r="A290" t="s">
        <v>353</v>
      </c>
      <c r="B290" s="56">
        <v>200000</v>
      </c>
    </row>
    <row r="291" spans="1:2" x14ac:dyDescent="0.25">
      <c r="A291" t="s">
        <v>354</v>
      </c>
      <c r="B291" s="56">
        <v>300000</v>
      </c>
    </row>
    <row r="292" spans="1:2" x14ac:dyDescent="0.25">
      <c r="A292" t="s">
        <v>352</v>
      </c>
      <c r="B292" s="56">
        <v>100000</v>
      </c>
    </row>
    <row r="293" spans="1:2" x14ac:dyDescent="0.25">
      <c r="A293" t="s">
        <v>353</v>
      </c>
      <c r="B293" s="56">
        <v>200000</v>
      </c>
    </row>
    <row r="294" spans="1:2" x14ac:dyDescent="0.25">
      <c r="A294" t="s">
        <v>354</v>
      </c>
      <c r="B294" s="56">
        <v>300000</v>
      </c>
    </row>
    <row r="295" spans="1:2" x14ac:dyDescent="0.25">
      <c r="A295" t="s">
        <v>352</v>
      </c>
      <c r="B295" s="56">
        <v>100000</v>
      </c>
    </row>
    <row r="296" spans="1:2" x14ac:dyDescent="0.25">
      <c r="A296" t="s">
        <v>353</v>
      </c>
      <c r="B296" s="56">
        <v>200000</v>
      </c>
    </row>
    <row r="297" spans="1:2" x14ac:dyDescent="0.25">
      <c r="A297" t="s">
        <v>354</v>
      </c>
      <c r="B297" s="56">
        <v>300000</v>
      </c>
    </row>
    <row r="298" spans="1:2" x14ac:dyDescent="0.25">
      <c r="A298" t="s">
        <v>352</v>
      </c>
      <c r="B298" s="56">
        <v>100000</v>
      </c>
    </row>
    <row r="299" spans="1:2" x14ac:dyDescent="0.25">
      <c r="A299" t="s">
        <v>353</v>
      </c>
      <c r="B299" s="56">
        <v>200000</v>
      </c>
    </row>
    <row r="300" spans="1:2" x14ac:dyDescent="0.25">
      <c r="A300" t="s">
        <v>354</v>
      </c>
      <c r="B300" s="56">
        <v>300000</v>
      </c>
    </row>
    <row r="301" spans="1:2" x14ac:dyDescent="0.25">
      <c r="A301" t="s">
        <v>352</v>
      </c>
      <c r="B301" s="56">
        <v>100000</v>
      </c>
    </row>
    <row r="302" spans="1:2" x14ac:dyDescent="0.25">
      <c r="A302" t="s">
        <v>353</v>
      </c>
      <c r="B302" s="56">
        <v>200000</v>
      </c>
    </row>
    <row r="303" spans="1:2" x14ac:dyDescent="0.25">
      <c r="A303" t="s">
        <v>354</v>
      </c>
      <c r="B303" s="56">
        <v>300000</v>
      </c>
    </row>
    <row r="304" spans="1:2" x14ac:dyDescent="0.25">
      <c r="A304" t="s">
        <v>352</v>
      </c>
      <c r="B304" s="56">
        <v>100000</v>
      </c>
    </row>
    <row r="305" spans="1:2" x14ac:dyDescent="0.25">
      <c r="A305" t="s">
        <v>353</v>
      </c>
      <c r="B305" s="56">
        <v>200000</v>
      </c>
    </row>
    <row r="306" spans="1:2" x14ac:dyDescent="0.25">
      <c r="A306" t="s">
        <v>354</v>
      </c>
      <c r="B306" s="56">
        <v>300000</v>
      </c>
    </row>
    <row r="307" spans="1:2" x14ac:dyDescent="0.25">
      <c r="A307" t="s">
        <v>352</v>
      </c>
      <c r="B307" s="56">
        <v>100000</v>
      </c>
    </row>
    <row r="308" spans="1:2" x14ac:dyDescent="0.25">
      <c r="A308" t="s">
        <v>353</v>
      </c>
      <c r="B308" s="56">
        <v>200000</v>
      </c>
    </row>
    <row r="309" spans="1:2" x14ac:dyDescent="0.25">
      <c r="A309" t="s">
        <v>354</v>
      </c>
      <c r="B309" s="56">
        <v>300000</v>
      </c>
    </row>
    <row r="310" spans="1:2" x14ac:dyDescent="0.25">
      <c r="A310" t="s">
        <v>352</v>
      </c>
      <c r="B310" s="56">
        <v>100000</v>
      </c>
    </row>
    <row r="311" spans="1:2" x14ac:dyDescent="0.25">
      <c r="A311" t="s">
        <v>353</v>
      </c>
      <c r="B311" s="56">
        <v>200000</v>
      </c>
    </row>
    <row r="312" spans="1:2" x14ac:dyDescent="0.25">
      <c r="A312" t="s">
        <v>354</v>
      </c>
      <c r="B312" s="56">
        <v>300000</v>
      </c>
    </row>
    <row r="313" spans="1:2" x14ac:dyDescent="0.25">
      <c r="A313" t="s">
        <v>352</v>
      </c>
      <c r="B313" s="56">
        <v>100000</v>
      </c>
    </row>
    <row r="314" spans="1:2" x14ac:dyDescent="0.25">
      <c r="A314" t="s">
        <v>353</v>
      </c>
      <c r="B314" s="56">
        <v>200000</v>
      </c>
    </row>
    <row r="315" spans="1:2" x14ac:dyDescent="0.25">
      <c r="A315" t="s">
        <v>354</v>
      </c>
      <c r="B315" s="56">
        <v>300000</v>
      </c>
    </row>
    <row r="316" spans="1:2" x14ac:dyDescent="0.25">
      <c r="A316" t="s">
        <v>352</v>
      </c>
      <c r="B316" s="56">
        <v>100000</v>
      </c>
    </row>
    <row r="317" spans="1:2" x14ac:dyDescent="0.25">
      <c r="A317" t="s">
        <v>353</v>
      </c>
      <c r="B317" s="56">
        <v>200000</v>
      </c>
    </row>
    <row r="318" spans="1:2" x14ac:dyDescent="0.25">
      <c r="A318" t="s">
        <v>354</v>
      </c>
      <c r="B318" s="56">
        <v>300000</v>
      </c>
    </row>
    <row r="319" spans="1:2" x14ac:dyDescent="0.25">
      <c r="A319" t="s">
        <v>352</v>
      </c>
      <c r="B319" s="56">
        <v>100000</v>
      </c>
    </row>
    <row r="320" spans="1:2" x14ac:dyDescent="0.25">
      <c r="A320" t="s">
        <v>353</v>
      </c>
      <c r="B320" s="56">
        <v>200000</v>
      </c>
    </row>
    <row r="321" spans="1:2" x14ac:dyDescent="0.25">
      <c r="A321" t="s">
        <v>354</v>
      </c>
      <c r="B321" s="56">
        <v>300000</v>
      </c>
    </row>
    <row r="322" spans="1:2" x14ac:dyDescent="0.25">
      <c r="A322" t="s">
        <v>352</v>
      </c>
      <c r="B322" s="56">
        <v>100000</v>
      </c>
    </row>
    <row r="323" spans="1:2" x14ac:dyDescent="0.25">
      <c r="A323" t="s">
        <v>353</v>
      </c>
      <c r="B323" s="56">
        <v>200000</v>
      </c>
    </row>
    <row r="324" spans="1:2" x14ac:dyDescent="0.25">
      <c r="A324" t="s">
        <v>354</v>
      </c>
      <c r="B324" s="56">
        <v>300000</v>
      </c>
    </row>
    <row r="325" spans="1:2" x14ac:dyDescent="0.25">
      <c r="A325" t="s">
        <v>352</v>
      </c>
      <c r="B325" s="56">
        <v>100000</v>
      </c>
    </row>
    <row r="326" spans="1:2" x14ac:dyDescent="0.25">
      <c r="A326" t="s">
        <v>353</v>
      </c>
      <c r="B326" s="56">
        <v>200000</v>
      </c>
    </row>
    <row r="327" spans="1:2" x14ac:dyDescent="0.25">
      <c r="A327" t="s">
        <v>354</v>
      </c>
      <c r="B327" s="56">
        <v>300000</v>
      </c>
    </row>
    <row r="328" spans="1:2" x14ac:dyDescent="0.25">
      <c r="A328" t="s">
        <v>352</v>
      </c>
      <c r="B328" s="56">
        <v>100000</v>
      </c>
    </row>
    <row r="329" spans="1:2" x14ac:dyDescent="0.25">
      <c r="A329" t="s">
        <v>353</v>
      </c>
      <c r="B329" s="56">
        <v>200000</v>
      </c>
    </row>
    <row r="330" spans="1:2" x14ac:dyDescent="0.25">
      <c r="A330" t="s">
        <v>354</v>
      </c>
      <c r="B330" s="56">
        <v>300000</v>
      </c>
    </row>
    <row r="331" spans="1:2" x14ac:dyDescent="0.25">
      <c r="A331" t="s">
        <v>352</v>
      </c>
      <c r="B331" s="56">
        <v>100000</v>
      </c>
    </row>
    <row r="332" spans="1:2" x14ac:dyDescent="0.25">
      <c r="A332" t="s">
        <v>353</v>
      </c>
      <c r="B332" s="56">
        <v>200000</v>
      </c>
    </row>
    <row r="333" spans="1:2" x14ac:dyDescent="0.25">
      <c r="A333" t="s">
        <v>354</v>
      </c>
      <c r="B333" s="56">
        <v>300000</v>
      </c>
    </row>
    <row r="334" spans="1:2" x14ac:dyDescent="0.25">
      <c r="A334" t="s">
        <v>352</v>
      </c>
      <c r="B334" s="56">
        <v>100000</v>
      </c>
    </row>
    <row r="335" spans="1:2" x14ac:dyDescent="0.25">
      <c r="A335" t="s">
        <v>353</v>
      </c>
      <c r="B335" s="56">
        <v>200000</v>
      </c>
    </row>
    <row r="336" spans="1:2" x14ac:dyDescent="0.25">
      <c r="A336" t="s">
        <v>354</v>
      </c>
      <c r="B336" s="56">
        <v>300000</v>
      </c>
    </row>
    <row r="337" spans="1:2" x14ac:dyDescent="0.25">
      <c r="A337" t="s">
        <v>352</v>
      </c>
      <c r="B337" s="56">
        <v>100000</v>
      </c>
    </row>
    <row r="338" spans="1:2" x14ac:dyDescent="0.25">
      <c r="A338" t="s">
        <v>353</v>
      </c>
      <c r="B338" s="56">
        <v>200000</v>
      </c>
    </row>
    <row r="339" spans="1:2" x14ac:dyDescent="0.25">
      <c r="A339" t="s">
        <v>354</v>
      </c>
      <c r="B339" s="56">
        <v>300000</v>
      </c>
    </row>
    <row r="340" spans="1:2" x14ac:dyDescent="0.25">
      <c r="A340" t="s">
        <v>352</v>
      </c>
      <c r="B340" s="56">
        <v>100000</v>
      </c>
    </row>
    <row r="341" spans="1:2" x14ac:dyDescent="0.25">
      <c r="A341" t="s">
        <v>353</v>
      </c>
      <c r="B341" s="56">
        <v>200000</v>
      </c>
    </row>
    <row r="342" spans="1:2" x14ac:dyDescent="0.25">
      <c r="A342" t="s">
        <v>354</v>
      </c>
      <c r="B342" s="56">
        <v>300000</v>
      </c>
    </row>
    <row r="343" spans="1:2" x14ac:dyDescent="0.25">
      <c r="A343" t="s">
        <v>352</v>
      </c>
      <c r="B343" s="56">
        <v>100000</v>
      </c>
    </row>
    <row r="344" spans="1:2" x14ac:dyDescent="0.25">
      <c r="A344" t="s">
        <v>353</v>
      </c>
      <c r="B344" s="56">
        <v>200000</v>
      </c>
    </row>
    <row r="345" spans="1:2" x14ac:dyDescent="0.25">
      <c r="A345" t="s">
        <v>354</v>
      </c>
      <c r="B345" s="56">
        <v>300000</v>
      </c>
    </row>
    <row r="346" spans="1:2" x14ac:dyDescent="0.25">
      <c r="A346" t="s">
        <v>352</v>
      </c>
      <c r="B346" s="56">
        <v>100000</v>
      </c>
    </row>
    <row r="347" spans="1:2" x14ac:dyDescent="0.25">
      <c r="A347" t="s">
        <v>353</v>
      </c>
      <c r="B347" s="56">
        <v>200000</v>
      </c>
    </row>
    <row r="348" spans="1:2" x14ac:dyDescent="0.25">
      <c r="A348" t="s">
        <v>354</v>
      </c>
      <c r="B348" s="56">
        <v>300000</v>
      </c>
    </row>
    <row r="349" spans="1:2" x14ac:dyDescent="0.25">
      <c r="A349" t="s">
        <v>352</v>
      </c>
      <c r="B349" s="56">
        <v>100000</v>
      </c>
    </row>
    <row r="350" spans="1:2" x14ac:dyDescent="0.25">
      <c r="A350" t="s">
        <v>353</v>
      </c>
      <c r="B350" s="56">
        <v>200000</v>
      </c>
    </row>
    <row r="351" spans="1:2" x14ac:dyDescent="0.25">
      <c r="A351" t="s">
        <v>354</v>
      </c>
      <c r="B351" s="56">
        <v>300000</v>
      </c>
    </row>
    <row r="352" spans="1:2" x14ac:dyDescent="0.25">
      <c r="A352" t="s">
        <v>352</v>
      </c>
      <c r="B352" s="56">
        <v>100000</v>
      </c>
    </row>
    <row r="353" spans="1:2" x14ac:dyDescent="0.25">
      <c r="A353" t="s">
        <v>353</v>
      </c>
      <c r="B353" s="56">
        <v>200000</v>
      </c>
    </row>
    <row r="354" spans="1:2" x14ac:dyDescent="0.25">
      <c r="A354" t="s">
        <v>354</v>
      </c>
      <c r="B354" s="56">
        <v>300000</v>
      </c>
    </row>
    <row r="355" spans="1:2" x14ac:dyDescent="0.25">
      <c r="A355" t="s">
        <v>352</v>
      </c>
      <c r="B355" s="56">
        <v>100000</v>
      </c>
    </row>
    <row r="356" spans="1:2" x14ac:dyDescent="0.25">
      <c r="A356" t="s">
        <v>353</v>
      </c>
      <c r="B356" s="56">
        <v>200000</v>
      </c>
    </row>
    <row r="357" spans="1:2" x14ac:dyDescent="0.25">
      <c r="A357" t="s">
        <v>354</v>
      </c>
      <c r="B357" s="56">
        <v>300000</v>
      </c>
    </row>
    <row r="358" spans="1:2" x14ac:dyDescent="0.25">
      <c r="A358" t="s">
        <v>352</v>
      </c>
      <c r="B358" s="56">
        <v>100000</v>
      </c>
    </row>
    <row r="359" spans="1:2" x14ac:dyDescent="0.25">
      <c r="A359" t="s">
        <v>353</v>
      </c>
      <c r="B359" s="56">
        <v>200000</v>
      </c>
    </row>
    <row r="360" spans="1:2" x14ac:dyDescent="0.25">
      <c r="A360" t="s">
        <v>354</v>
      </c>
      <c r="B360" s="56">
        <v>300000</v>
      </c>
    </row>
    <row r="361" spans="1:2" x14ac:dyDescent="0.25">
      <c r="A361" t="s">
        <v>352</v>
      </c>
      <c r="B361" s="56">
        <v>100000</v>
      </c>
    </row>
    <row r="362" spans="1:2" x14ac:dyDescent="0.25">
      <c r="A362" t="s">
        <v>353</v>
      </c>
      <c r="B362" s="56">
        <v>200000</v>
      </c>
    </row>
    <row r="363" spans="1:2" x14ac:dyDescent="0.25">
      <c r="A363" t="s">
        <v>354</v>
      </c>
      <c r="B363" s="56">
        <v>300000</v>
      </c>
    </row>
    <row r="364" spans="1:2" x14ac:dyDescent="0.25">
      <c r="A364" t="s">
        <v>352</v>
      </c>
      <c r="B364" s="56">
        <v>100000</v>
      </c>
    </row>
    <row r="365" spans="1:2" x14ac:dyDescent="0.25">
      <c r="A365" t="s">
        <v>353</v>
      </c>
      <c r="B365" s="56">
        <v>200000</v>
      </c>
    </row>
    <row r="366" spans="1:2" x14ac:dyDescent="0.25">
      <c r="A366" t="s">
        <v>354</v>
      </c>
      <c r="B366" s="56">
        <v>300000</v>
      </c>
    </row>
    <row r="367" spans="1:2" x14ac:dyDescent="0.25">
      <c r="A367" t="s">
        <v>352</v>
      </c>
      <c r="B367" s="56">
        <v>100000</v>
      </c>
    </row>
    <row r="368" spans="1:2" x14ac:dyDescent="0.25">
      <c r="A368" t="s">
        <v>353</v>
      </c>
      <c r="B368" s="56">
        <v>200000</v>
      </c>
    </row>
    <row r="369" spans="1:2" x14ac:dyDescent="0.25">
      <c r="A369" t="s">
        <v>354</v>
      </c>
      <c r="B369" s="56">
        <v>300000</v>
      </c>
    </row>
    <row r="370" spans="1:2" x14ac:dyDescent="0.25">
      <c r="A370" t="s">
        <v>352</v>
      </c>
      <c r="B370" s="56">
        <v>100000</v>
      </c>
    </row>
    <row r="371" spans="1:2" x14ac:dyDescent="0.25">
      <c r="A371" t="s">
        <v>353</v>
      </c>
      <c r="B371" s="56">
        <v>200000</v>
      </c>
    </row>
    <row r="372" spans="1:2" x14ac:dyDescent="0.25">
      <c r="A372" t="s">
        <v>354</v>
      </c>
      <c r="B372" s="56">
        <v>300000</v>
      </c>
    </row>
    <row r="373" spans="1:2" x14ac:dyDescent="0.25">
      <c r="A373" t="s">
        <v>352</v>
      </c>
      <c r="B373" s="56">
        <v>100000</v>
      </c>
    </row>
    <row r="374" spans="1:2" x14ac:dyDescent="0.25">
      <c r="A374" t="s">
        <v>353</v>
      </c>
      <c r="B374" s="56">
        <v>200000</v>
      </c>
    </row>
    <row r="375" spans="1:2" x14ac:dyDescent="0.25">
      <c r="A375" t="s">
        <v>354</v>
      </c>
      <c r="B375" s="56">
        <v>300000</v>
      </c>
    </row>
    <row r="376" spans="1:2" x14ac:dyDescent="0.25">
      <c r="A376" t="s">
        <v>352</v>
      </c>
      <c r="B376" s="56">
        <v>100000</v>
      </c>
    </row>
    <row r="377" spans="1:2" x14ac:dyDescent="0.25">
      <c r="A377" t="s">
        <v>353</v>
      </c>
      <c r="B377" s="56">
        <v>200000</v>
      </c>
    </row>
    <row r="378" spans="1:2" x14ac:dyDescent="0.25">
      <c r="A378" t="s">
        <v>354</v>
      </c>
      <c r="B378" s="56">
        <v>300000</v>
      </c>
    </row>
    <row r="379" spans="1:2" x14ac:dyDescent="0.25">
      <c r="A379" t="s">
        <v>352</v>
      </c>
      <c r="B379" s="56">
        <v>100000</v>
      </c>
    </row>
    <row r="380" spans="1:2" x14ac:dyDescent="0.25">
      <c r="A380" t="s">
        <v>353</v>
      </c>
      <c r="B380" s="56">
        <v>200000</v>
      </c>
    </row>
    <row r="381" spans="1:2" x14ac:dyDescent="0.25">
      <c r="A381" t="s">
        <v>354</v>
      </c>
      <c r="B381" s="56">
        <v>300000</v>
      </c>
    </row>
    <row r="382" spans="1:2" x14ac:dyDescent="0.25">
      <c r="A382" t="s">
        <v>352</v>
      </c>
      <c r="B382" s="56">
        <v>100000</v>
      </c>
    </row>
    <row r="383" spans="1:2" x14ac:dyDescent="0.25">
      <c r="A383" t="s">
        <v>353</v>
      </c>
      <c r="B383" s="56">
        <v>200000</v>
      </c>
    </row>
    <row r="384" spans="1:2" x14ac:dyDescent="0.25">
      <c r="A384" t="s">
        <v>354</v>
      </c>
      <c r="B384" s="56">
        <v>300000</v>
      </c>
    </row>
    <row r="385" spans="1:2" x14ac:dyDescent="0.25">
      <c r="A385" t="s">
        <v>352</v>
      </c>
      <c r="B385" s="56">
        <v>100000</v>
      </c>
    </row>
    <row r="386" spans="1:2" x14ac:dyDescent="0.25">
      <c r="A386" t="s">
        <v>353</v>
      </c>
      <c r="B386" s="56">
        <v>200000</v>
      </c>
    </row>
    <row r="387" spans="1:2" x14ac:dyDescent="0.25">
      <c r="A387" t="s">
        <v>354</v>
      </c>
      <c r="B387" s="56">
        <v>300000</v>
      </c>
    </row>
    <row r="388" spans="1:2" x14ac:dyDescent="0.25">
      <c r="A388" t="s">
        <v>352</v>
      </c>
      <c r="B388" s="56">
        <v>100000</v>
      </c>
    </row>
    <row r="389" spans="1:2" x14ac:dyDescent="0.25">
      <c r="A389" t="s">
        <v>353</v>
      </c>
      <c r="B389" s="56">
        <v>200000</v>
      </c>
    </row>
    <row r="390" spans="1:2" x14ac:dyDescent="0.25">
      <c r="A390" t="s">
        <v>354</v>
      </c>
      <c r="B390" s="56">
        <v>300000</v>
      </c>
    </row>
    <row r="391" spans="1:2" x14ac:dyDescent="0.25">
      <c r="A391" t="s">
        <v>352</v>
      </c>
      <c r="B391" s="56">
        <v>100000</v>
      </c>
    </row>
    <row r="392" spans="1:2" x14ac:dyDescent="0.25">
      <c r="A392" t="s">
        <v>353</v>
      </c>
      <c r="B392" s="56">
        <v>200000</v>
      </c>
    </row>
    <row r="393" spans="1:2" x14ac:dyDescent="0.25">
      <c r="A393" t="s">
        <v>354</v>
      </c>
      <c r="B393" s="56">
        <v>300000</v>
      </c>
    </row>
    <row r="394" spans="1:2" x14ac:dyDescent="0.25">
      <c r="A394" t="s">
        <v>352</v>
      </c>
      <c r="B394" s="56">
        <v>100000</v>
      </c>
    </row>
    <row r="395" spans="1:2" x14ac:dyDescent="0.25">
      <c r="A395" t="s">
        <v>353</v>
      </c>
      <c r="B395" s="56">
        <v>200000</v>
      </c>
    </row>
    <row r="396" spans="1:2" x14ac:dyDescent="0.25">
      <c r="A396" t="s">
        <v>354</v>
      </c>
      <c r="B396" s="56">
        <v>300000</v>
      </c>
    </row>
    <row r="397" spans="1:2" x14ac:dyDescent="0.25">
      <c r="A397" t="s">
        <v>352</v>
      </c>
      <c r="B397" s="56">
        <v>100000</v>
      </c>
    </row>
    <row r="398" spans="1:2" x14ac:dyDescent="0.25">
      <c r="A398" t="s">
        <v>353</v>
      </c>
      <c r="B398" s="56">
        <v>200000</v>
      </c>
    </row>
    <row r="399" spans="1:2" x14ac:dyDescent="0.25">
      <c r="A399" t="s">
        <v>354</v>
      </c>
      <c r="B399" s="56">
        <v>300000</v>
      </c>
    </row>
    <row r="400" spans="1:2" x14ac:dyDescent="0.25">
      <c r="A400" t="s">
        <v>352</v>
      </c>
      <c r="B400" s="56">
        <v>100000</v>
      </c>
    </row>
    <row r="401" spans="1:2" x14ac:dyDescent="0.25">
      <c r="A401" t="s">
        <v>353</v>
      </c>
      <c r="B401" s="56">
        <v>200000</v>
      </c>
    </row>
    <row r="402" spans="1:2" x14ac:dyDescent="0.25">
      <c r="A402" t="s">
        <v>354</v>
      </c>
      <c r="B402" s="56">
        <v>300000</v>
      </c>
    </row>
    <row r="403" spans="1:2" x14ac:dyDescent="0.25">
      <c r="A403" t="s">
        <v>352</v>
      </c>
      <c r="B403" s="56">
        <v>100000</v>
      </c>
    </row>
    <row r="404" spans="1:2" x14ac:dyDescent="0.25">
      <c r="A404" t="s">
        <v>353</v>
      </c>
      <c r="B404" s="56">
        <v>200000</v>
      </c>
    </row>
    <row r="405" spans="1:2" x14ac:dyDescent="0.25">
      <c r="A405" t="s">
        <v>354</v>
      </c>
      <c r="B405" s="56">
        <v>300000</v>
      </c>
    </row>
    <row r="406" spans="1:2" x14ac:dyDescent="0.25">
      <c r="A406" t="s">
        <v>352</v>
      </c>
      <c r="B406" s="56">
        <v>100000</v>
      </c>
    </row>
    <row r="407" spans="1:2" x14ac:dyDescent="0.25">
      <c r="A407" t="s">
        <v>353</v>
      </c>
      <c r="B407" s="56">
        <v>200000</v>
      </c>
    </row>
    <row r="408" spans="1:2" x14ac:dyDescent="0.25">
      <c r="A408" t="s">
        <v>354</v>
      </c>
      <c r="B408" s="56">
        <v>300000</v>
      </c>
    </row>
    <row r="409" spans="1:2" x14ac:dyDescent="0.25">
      <c r="A409" t="s">
        <v>352</v>
      </c>
      <c r="B409" s="56">
        <v>100000</v>
      </c>
    </row>
    <row r="410" spans="1:2" x14ac:dyDescent="0.25">
      <c r="A410" t="s">
        <v>353</v>
      </c>
      <c r="B410" s="56">
        <v>200000</v>
      </c>
    </row>
    <row r="411" spans="1:2" x14ac:dyDescent="0.25">
      <c r="A411" t="s">
        <v>354</v>
      </c>
      <c r="B411" s="56">
        <v>300000</v>
      </c>
    </row>
    <row r="412" spans="1:2" x14ac:dyDescent="0.25">
      <c r="A412" t="s">
        <v>352</v>
      </c>
      <c r="B412" s="56">
        <v>100000</v>
      </c>
    </row>
    <row r="413" spans="1:2" x14ac:dyDescent="0.25">
      <c r="A413" t="s">
        <v>353</v>
      </c>
      <c r="B413" s="56">
        <v>200000</v>
      </c>
    </row>
    <row r="414" spans="1:2" x14ac:dyDescent="0.25">
      <c r="A414" t="s">
        <v>354</v>
      </c>
      <c r="B414" s="56">
        <v>300000</v>
      </c>
    </row>
    <row r="415" spans="1:2" x14ac:dyDescent="0.25">
      <c r="A415" t="s">
        <v>352</v>
      </c>
      <c r="B415" s="56">
        <v>100000</v>
      </c>
    </row>
    <row r="416" spans="1:2" x14ac:dyDescent="0.25">
      <c r="A416" t="s">
        <v>353</v>
      </c>
      <c r="B416" s="56">
        <v>200000</v>
      </c>
    </row>
    <row r="417" spans="1:2" x14ac:dyDescent="0.25">
      <c r="A417" t="s">
        <v>354</v>
      </c>
      <c r="B417" s="56">
        <v>300000</v>
      </c>
    </row>
    <row r="418" spans="1:2" x14ac:dyDescent="0.25">
      <c r="A418" t="s">
        <v>352</v>
      </c>
      <c r="B418" s="56">
        <v>100000</v>
      </c>
    </row>
    <row r="419" spans="1:2" x14ac:dyDescent="0.25">
      <c r="A419" t="s">
        <v>353</v>
      </c>
      <c r="B419" s="56">
        <v>200000</v>
      </c>
    </row>
    <row r="420" spans="1:2" x14ac:dyDescent="0.25">
      <c r="A420" t="s">
        <v>354</v>
      </c>
      <c r="B420" s="56">
        <v>300000</v>
      </c>
    </row>
    <row r="421" spans="1:2" x14ac:dyDescent="0.25">
      <c r="A421" t="s">
        <v>352</v>
      </c>
      <c r="B421" s="56">
        <v>100000</v>
      </c>
    </row>
    <row r="422" spans="1:2" x14ac:dyDescent="0.25">
      <c r="A422" t="s">
        <v>353</v>
      </c>
      <c r="B422" s="56">
        <v>200000</v>
      </c>
    </row>
    <row r="423" spans="1:2" x14ac:dyDescent="0.25">
      <c r="A423" t="s">
        <v>354</v>
      </c>
      <c r="B423" s="56">
        <v>300000</v>
      </c>
    </row>
    <row r="424" spans="1:2" x14ac:dyDescent="0.25">
      <c r="A424" t="s">
        <v>352</v>
      </c>
      <c r="B424" s="56">
        <v>100000</v>
      </c>
    </row>
    <row r="425" spans="1:2" x14ac:dyDescent="0.25">
      <c r="A425" t="s">
        <v>353</v>
      </c>
      <c r="B425" s="56">
        <v>200000</v>
      </c>
    </row>
    <row r="426" spans="1:2" x14ac:dyDescent="0.25">
      <c r="A426" t="s">
        <v>354</v>
      </c>
      <c r="B426" s="56">
        <v>300000</v>
      </c>
    </row>
    <row r="427" spans="1:2" x14ac:dyDescent="0.25">
      <c r="A427" t="s">
        <v>352</v>
      </c>
      <c r="B427" s="56">
        <v>100000</v>
      </c>
    </row>
    <row r="428" spans="1:2" x14ac:dyDescent="0.25">
      <c r="A428" t="s">
        <v>353</v>
      </c>
      <c r="B428" s="56">
        <v>200000</v>
      </c>
    </row>
    <row r="429" spans="1:2" x14ac:dyDescent="0.25">
      <c r="A429" t="s">
        <v>354</v>
      </c>
      <c r="B429" s="56">
        <v>300000</v>
      </c>
    </row>
    <row r="430" spans="1:2" x14ac:dyDescent="0.25">
      <c r="A430" t="s">
        <v>352</v>
      </c>
      <c r="B430" s="56">
        <v>100000</v>
      </c>
    </row>
    <row r="431" spans="1:2" x14ac:dyDescent="0.25">
      <c r="A431" t="s">
        <v>353</v>
      </c>
      <c r="B431" s="56">
        <v>200000</v>
      </c>
    </row>
    <row r="432" spans="1:2" x14ac:dyDescent="0.25">
      <c r="A432" t="s">
        <v>354</v>
      </c>
      <c r="B432" s="56">
        <v>300000</v>
      </c>
    </row>
    <row r="433" spans="1:2" x14ac:dyDescent="0.25">
      <c r="A433" t="s">
        <v>352</v>
      </c>
      <c r="B433" s="56">
        <v>100000</v>
      </c>
    </row>
    <row r="434" spans="1:2" x14ac:dyDescent="0.25">
      <c r="A434" t="s">
        <v>353</v>
      </c>
      <c r="B434" s="56">
        <v>200000</v>
      </c>
    </row>
    <row r="435" spans="1:2" x14ac:dyDescent="0.25">
      <c r="A435" t="s">
        <v>354</v>
      </c>
      <c r="B435" s="56">
        <v>300000</v>
      </c>
    </row>
    <row r="436" spans="1:2" x14ac:dyDescent="0.25">
      <c r="A436" t="s">
        <v>352</v>
      </c>
      <c r="B436" s="56">
        <v>100000</v>
      </c>
    </row>
    <row r="437" spans="1:2" x14ac:dyDescent="0.25">
      <c r="A437" t="s">
        <v>353</v>
      </c>
      <c r="B437" s="56">
        <v>200000</v>
      </c>
    </row>
    <row r="438" spans="1:2" x14ac:dyDescent="0.25">
      <c r="A438" t="s">
        <v>354</v>
      </c>
      <c r="B438" s="56">
        <v>300000</v>
      </c>
    </row>
    <row r="439" spans="1:2" x14ac:dyDescent="0.25">
      <c r="A439" t="s">
        <v>352</v>
      </c>
      <c r="B439" s="56">
        <v>100000</v>
      </c>
    </row>
    <row r="440" spans="1:2" x14ac:dyDescent="0.25">
      <c r="A440" t="s">
        <v>353</v>
      </c>
      <c r="B440" s="56">
        <v>200000</v>
      </c>
    </row>
    <row r="441" spans="1:2" x14ac:dyDescent="0.25">
      <c r="A441" t="s">
        <v>354</v>
      </c>
      <c r="B441" s="56">
        <v>300000</v>
      </c>
    </row>
    <row r="442" spans="1:2" x14ac:dyDescent="0.25">
      <c r="A442" t="s">
        <v>352</v>
      </c>
      <c r="B442" s="56">
        <v>100000</v>
      </c>
    </row>
    <row r="443" spans="1:2" x14ac:dyDescent="0.25">
      <c r="A443" t="s">
        <v>353</v>
      </c>
      <c r="B443" s="56">
        <v>200000</v>
      </c>
    </row>
    <row r="444" spans="1:2" x14ac:dyDescent="0.25">
      <c r="A444" t="s">
        <v>354</v>
      </c>
      <c r="B444" s="56">
        <v>300000</v>
      </c>
    </row>
    <row r="445" spans="1:2" x14ac:dyDescent="0.25">
      <c r="A445" t="s">
        <v>352</v>
      </c>
      <c r="B445" s="56">
        <v>100000</v>
      </c>
    </row>
    <row r="446" spans="1:2" x14ac:dyDescent="0.25">
      <c r="A446" t="s">
        <v>353</v>
      </c>
      <c r="B446" s="56">
        <v>200000</v>
      </c>
    </row>
    <row r="447" spans="1:2" x14ac:dyDescent="0.25">
      <c r="A447" t="s">
        <v>354</v>
      </c>
      <c r="B447" s="56">
        <v>300000</v>
      </c>
    </row>
    <row r="448" spans="1:2" x14ac:dyDescent="0.25">
      <c r="A448" t="s">
        <v>352</v>
      </c>
      <c r="B448" s="56">
        <v>100000</v>
      </c>
    </row>
    <row r="449" spans="1:2" x14ac:dyDescent="0.25">
      <c r="A449" t="s">
        <v>353</v>
      </c>
      <c r="B449" s="56">
        <v>200000</v>
      </c>
    </row>
    <row r="450" spans="1:2" x14ac:dyDescent="0.25">
      <c r="A450" t="s">
        <v>354</v>
      </c>
      <c r="B450" s="56">
        <v>300000</v>
      </c>
    </row>
    <row r="451" spans="1:2" x14ac:dyDescent="0.25">
      <c r="A451" t="s">
        <v>352</v>
      </c>
      <c r="B451" s="56">
        <v>100000</v>
      </c>
    </row>
    <row r="452" spans="1:2" x14ac:dyDescent="0.25">
      <c r="A452" t="s">
        <v>353</v>
      </c>
      <c r="B452" s="56">
        <v>200000</v>
      </c>
    </row>
    <row r="453" spans="1:2" x14ac:dyDescent="0.25">
      <c r="A453" t="s">
        <v>354</v>
      </c>
      <c r="B453" s="56">
        <v>300000</v>
      </c>
    </row>
    <row r="454" spans="1:2" x14ac:dyDescent="0.25">
      <c r="A454" t="s">
        <v>352</v>
      </c>
      <c r="B454" s="56">
        <v>100000</v>
      </c>
    </row>
    <row r="455" spans="1:2" x14ac:dyDescent="0.25">
      <c r="A455" t="s">
        <v>353</v>
      </c>
      <c r="B455" s="56">
        <v>200000</v>
      </c>
    </row>
    <row r="456" spans="1:2" x14ac:dyDescent="0.25">
      <c r="A456" t="s">
        <v>354</v>
      </c>
      <c r="B456" s="56">
        <v>300000</v>
      </c>
    </row>
    <row r="457" spans="1:2" x14ac:dyDescent="0.25">
      <c r="A457" t="s">
        <v>352</v>
      </c>
      <c r="B457" s="56">
        <v>100000</v>
      </c>
    </row>
    <row r="458" spans="1:2" x14ac:dyDescent="0.25">
      <c r="A458" t="s">
        <v>353</v>
      </c>
      <c r="B458" s="56">
        <v>200000</v>
      </c>
    </row>
    <row r="459" spans="1:2" x14ac:dyDescent="0.25">
      <c r="A459" t="s">
        <v>354</v>
      </c>
      <c r="B459" s="56">
        <v>300000</v>
      </c>
    </row>
    <row r="460" spans="1:2" x14ac:dyDescent="0.25">
      <c r="A460" t="s">
        <v>352</v>
      </c>
      <c r="B460" s="56">
        <v>100000</v>
      </c>
    </row>
    <row r="461" spans="1:2" x14ac:dyDescent="0.25">
      <c r="A461" t="s">
        <v>353</v>
      </c>
      <c r="B461" s="56">
        <v>200000</v>
      </c>
    </row>
    <row r="462" spans="1:2" x14ac:dyDescent="0.25">
      <c r="A462" t="s">
        <v>354</v>
      </c>
      <c r="B462" s="56">
        <v>300000</v>
      </c>
    </row>
    <row r="463" spans="1:2" x14ac:dyDescent="0.25">
      <c r="A463" t="s">
        <v>352</v>
      </c>
      <c r="B463" s="56">
        <v>100000</v>
      </c>
    </row>
    <row r="464" spans="1:2" x14ac:dyDescent="0.25">
      <c r="A464" t="s">
        <v>353</v>
      </c>
      <c r="B464" s="56">
        <v>200000</v>
      </c>
    </row>
    <row r="465" spans="1:2" x14ac:dyDescent="0.25">
      <c r="A465" t="s">
        <v>354</v>
      </c>
      <c r="B465" s="56">
        <v>300000</v>
      </c>
    </row>
    <row r="466" spans="1:2" x14ac:dyDescent="0.25">
      <c r="A466" t="s">
        <v>352</v>
      </c>
      <c r="B466" s="56">
        <v>100000</v>
      </c>
    </row>
    <row r="467" spans="1:2" x14ac:dyDescent="0.25">
      <c r="A467" t="s">
        <v>353</v>
      </c>
      <c r="B467" s="56">
        <v>200000</v>
      </c>
    </row>
    <row r="468" spans="1:2" x14ac:dyDescent="0.25">
      <c r="A468" t="s">
        <v>354</v>
      </c>
      <c r="B468" s="56">
        <v>300000</v>
      </c>
    </row>
    <row r="469" spans="1:2" x14ac:dyDescent="0.25">
      <c r="A469" t="s">
        <v>352</v>
      </c>
      <c r="B469" s="56">
        <v>100000</v>
      </c>
    </row>
    <row r="470" spans="1:2" x14ac:dyDescent="0.25">
      <c r="A470" t="s">
        <v>353</v>
      </c>
      <c r="B470" s="56">
        <v>200000</v>
      </c>
    </row>
    <row r="471" spans="1:2" x14ac:dyDescent="0.25">
      <c r="A471" t="s">
        <v>354</v>
      </c>
      <c r="B471" s="56">
        <v>300000</v>
      </c>
    </row>
    <row r="472" spans="1:2" x14ac:dyDescent="0.25">
      <c r="A472" t="s">
        <v>352</v>
      </c>
      <c r="B472" s="56">
        <v>100000</v>
      </c>
    </row>
    <row r="473" spans="1:2" x14ac:dyDescent="0.25">
      <c r="A473" t="s">
        <v>353</v>
      </c>
      <c r="B473" s="56">
        <v>200000</v>
      </c>
    </row>
    <row r="474" spans="1:2" x14ac:dyDescent="0.25">
      <c r="A474" t="s">
        <v>354</v>
      </c>
      <c r="B474" s="56">
        <v>300000</v>
      </c>
    </row>
    <row r="475" spans="1:2" x14ac:dyDescent="0.25">
      <c r="A475" t="s">
        <v>352</v>
      </c>
      <c r="B475" s="56">
        <v>100000</v>
      </c>
    </row>
    <row r="476" spans="1:2" x14ac:dyDescent="0.25">
      <c r="A476" t="s">
        <v>353</v>
      </c>
      <c r="B476" s="56">
        <v>200000</v>
      </c>
    </row>
    <row r="477" spans="1:2" x14ac:dyDescent="0.25">
      <c r="A477" t="s">
        <v>354</v>
      </c>
      <c r="B477" s="56">
        <v>300000</v>
      </c>
    </row>
    <row r="478" spans="1:2" x14ac:dyDescent="0.25">
      <c r="A478" t="s">
        <v>352</v>
      </c>
      <c r="B478" s="56">
        <v>100000</v>
      </c>
    </row>
    <row r="479" spans="1:2" x14ac:dyDescent="0.25">
      <c r="A479" t="s">
        <v>353</v>
      </c>
      <c r="B479" s="56">
        <v>200000</v>
      </c>
    </row>
    <row r="480" spans="1:2" x14ac:dyDescent="0.25">
      <c r="A480" t="s">
        <v>354</v>
      </c>
      <c r="B480" s="56">
        <v>300000</v>
      </c>
    </row>
    <row r="481" spans="1:2" x14ac:dyDescent="0.25">
      <c r="A481" t="s">
        <v>352</v>
      </c>
      <c r="B481" s="56">
        <v>100000</v>
      </c>
    </row>
    <row r="482" spans="1:2" x14ac:dyDescent="0.25">
      <c r="A482" t="s">
        <v>353</v>
      </c>
      <c r="B482" s="56">
        <v>200000</v>
      </c>
    </row>
    <row r="483" spans="1:2" x14ac:dyDescent="0.25">
      <c r="A483" t="s">
        <v>354</v>
      </c>
      <c r="B483" s="56">
        <v>300000</v>
      </c>
    </row>
    <row r="484" spans="1:2" x14ac:dyDescent="0.25">
      <c r="A484" t="s">
        <v>352</v>
      </c>
      <c r="B484" s="56">
        <v>100000</v>
      </c>
    </row>
    <row r="485" spans="1:2" x14ac:dyDescent="0.25">
      <c r="A485" t="s">
        <v>353</v>
      </c>
      <c r="B485" s="56">
        <v>200000</v>
      </c>
    </row>
    <row r="486" spans="1:2" x14ac:dyDescent="0.25">
      <c r="A486" t="s">
        <v>354</v>
      </c>
      <c r="B486" s="56">
        <v>300000</v>
      </c>
    </row>
    <row r="487" spans="1:2" x14ac:dyDescent="0.25">
      <c r="A487" t="s">
        <v>352</v>
      </c>
      <c r="B487" s="56">
        <v>100000</v>
      </c>
    </row>
    <row r="488" spans="1:2" x14ac:dyDescent="0.25">
      <c r="A488" t="s">
        <v>353</v>
      </c>
      <c r="B488" s="56">
        <v>200000</v>
      </c>
    </row>
    <row r="489" spans="1:2" x14ac:dyDescent="0.25">
      <c r="A489" t="s">
        <v>354</v>
      </c>
      <c r="B489" s="56">
        <v>300000</v>
      </c>
    </row>
    <row r="490" spans="1:2" x14ac:dyDescent="0.25">
      <c r="A490" t="s">
        <v>352</v>
      </c>
      <c r="B490" s="56">
        <v>100000</v>
      </c>
    </row>
    <row r="491" spans="1:2" x14ac:dyDescent="0.25">
      <c r="A491" t="s">
        <v>353</v>
      </c>
      <c r="B491" s="56">
        <v>200000</v>
      </c>
    </row>
    <row r="492" spans="1:2" x14ac:dyDescent="0.25">
      <c r="A492" t="s">
        <v>354</v>
      </c>
      <c r="B492" s="56">
        <v>300000</v>
      </c>
    </row>
    <row r="493" spans="1:2" x14ac:dyDescent="0.25">
      <c r="A493" t="s">
        <v>352</v>
      </c>
      <c r="B493" s="56">
        <v>100000</v>
      </c>
    </row>
    <row r="494" spans="1:2" x14ac:dyDescent="0.25">
      <c r="A494" t="s">
        <v>353</v>
      </c>
      <c r="B494" s="56">
        <v>200000</v>
      </c>
    </row>
    <row r="495" spans="1:2" x14ac:dyDescent="0.25">
      <c r="A495" t="s">
        <v>354</v>
      </c>
      <c r="B495" s="56">
        <v>300000</v>
      </c>
    </row>
    <row r="496" spans="1:2" x14ac:dyDescent="0.25">
      <c r="A496" t="s">
        <v>352</v>
      </c>
      <c r="B496" s="56">
        <v>100000</v>
      </c>
    </row>
    <row r="497" spans="1:2" x14ac:dyDescent="0.25">
      <c r="A497" t="s">
        <v>353</v>
      </c>
      <c r="B497" s="56">
        <v>200000</v>
      </c>
    </row>
    <row r="498" spans="1:2" x14ac:dyDescent="0.25">
      <c r="A498" t="s">
        <v>354</v>
      </c>
      <c r="B498" s="56">
        <v>300000</v>
      </c>
    </row>
    <row r="499" spans="1:2" x14ac:dyDescent="0.25">
      <c r="A499" t="s">
        <v>352</v>
      </c>
      <c r="B499" s="56">
        <v>100000</v>
      </c>
    </row>
    <row r="500" spans="1:2" x14ac:dyDescent="0.25">
      <c r="A500" t="s">
        <v>353</v>
      </c>
      <c r="B500" s="56">
        <v>200000</v>
      </c>
    </row>
    <row r="501" spans="1:2" x14ac:dyDescent="0.25">
      <c r="A501" t="s">
        <v>354</v>
      </c>
      <c r="B501" s="56">
        <v>300000</v>
      </c>
    </row>
    <row r="502" spans="1:2" x14ac:dyDescent="0.25">
      <c r="A502" t="s">
        <v>352</v>
      </c>
      <c r="B502" s="56">
        <v>100000</v>
      </c>
    </row>
    <row r="503" spans="1:2" x14ac:dyDescent="0.25">
      <c r="A503" t="s">
        <v>353</v>
      </c>
      <c r="B503" s="56">
        <v>200000</v>
      </c>
    </row>
    <row r="504" spans="1:2" x14ac:dyDescent="0.25">
      <c r="A504" t="s">
        <v>354</v>
      </c>
      <c r="B504" s="56">
        <v>300000</v>
      </c>
    </row>
    <row r="505" spans="1:2" x14ac:dyDescent="0.25">
      <c r="A505" t="s">
        <v>352</v>
      </c>
      <c r="B505" s="56">
        <v>100000</v>
      </c>
    </row>
    <row r="506" spans="1:2" x14ac:dyDescent="0.25">
      <c r="A506" t="s">
        <v>353</v>
      </c>
      <c r="B506" s="56">
        <v>200000</v>
      </c>
    </row>
    <row r="507" spans="1:2" x14ac:dyDescent="0.25">
      <c r="A507" t="s">
        <v>354</v>
      </c>
      <c r="B507" s="56">
        <v>300000</v>
      </c>
    </row>
    <row r="508" spans="1:2" x14ac:dyDescent="0.25">
      <c r="A508" t="s">
        <v>352</v>
      </c>
      <c r="B508" s="56">
        <v>100000</v>
      </c>
    </row>
    <row r="509" spans="1:2" x14ac:dyDescent="0.25">
      <c r="A509" t="s">
        <v>353</v>
      </c>
      <c r="B509" s="56">
        <v>200000</v>
      </c>
    </row>
    <row r="510" spans="1:2" x14ac:dyDescent="0.25">
      <c r="A510" t="s">
        <v>354</v>
      </c>
      <c r="B510" s="56">
        <v>300000</v>
      </c>
    </row>
    <row r="511" spans="1:2" x14ac:dyDescent="0.25">
      <c r="A511" t="s">
        <v>352</v>
      </c>
      <c r="B511" s="56">
        <v>100000</v>
      </c>
    </row>
    <row r="512" spans="1:2" x14ac:dyDescent="0.25">
      <c r="A512" t="s">
        <v>353</v>
      </c>
      <c r="B512" s="56">
        <v>200000</v>
      </c>
    </row>
    <row r="513" spans="1:2" x14ac:dyDescent="0.25">
      <c r="A513" t="s">
        <v>354</v>
      </c>
      <c r="B513" s="56">
        <v>300000</v>
      </c>
    </row>
    <row r="514" spans="1:2" x14ac:dyDescent="0.25">
      <c r="A514" t="s">
        <v>352</v>
      </c>
      <c r="B514" s="56">
        <v>100000</v>
      </c>
    </row>
    <row r="515" spans="1:2" x14ac:dyDescent="0.25">
      <c r="A515" t="s">
        <v>353</v>
      </c>
      <c r="B515" s="56">
        <v>200000</v>
      </c>
    </row>
    <row r="516" spans="1:2" x14ac:dyDescent="0.25">
      <c r="A516" t="s">
        <v>354</v>
      </c>
      <c r="B516" s="56">
        <v>300000</v>
      </c>
    </row>
    <row r="517" spans="1:2" x14ac:dyDescent="0.25">
      <c r="A517" t="s">
        <v>352</v>
      </c>
      <c r="B517" s="56">
        <v>100000</v>
      </c>
    </row>
    <row r="518" spans="1:2" x14ac:dyDescent="0.25">
      <c r="A518" t="s">
        <v>353</v>
      </c>
      <c r="B518" s="56">
        <v>200000</v>
      </c>
    </row>
    <row r="519" spans="1:2" x14ac:dyDescent="0.25">
      <c r="A519" t="s">
        <v>354</v>
      </c>
      <c r="B519" s="56">
        <v>300000</v>
      </c>
    </row>
    <row r="520" spans="1:2" x14ac:dyDescent="0.25">
      <c r="A520" t="s">
        <v>352</v>
      </c>
      <c r="B520" s="56">
        <v>100000</v>
      </c>
    </row>
    <row r="521" spans="1:2" x14ac:dyDescent="0.25">
      <c r="A521" t="s">
        <v>353</v>
      </c>
      <c r="B521" s="56">
        <v>200000</v>
      </c>
    </row>
    <row r="522" spans="1:2" x14ac:dyDescent="0.25">
      <c r="A522" t="s">
        <v>354</v>
      </c>
      <c r="B522" s="56">
        <v>300000</v>
      </c>
    </row>
    <row r="523" spans="1:2" x14ac:dyDescent="0.25">
      <c r="A523" t="s">
        <v>352</v>
      </c>
      <c r="B523" s="56">
        <v>100000</v>
      </c>
    </row>
    <row r="524" spans="1:2" x14ac:dyDescent="0.25">
      <c r="A524" t="s">
        <v>353</v>
      </c>
      <c r="B524" s="56">
        <v>200000</v>
      </c>
    </row>
    <row r="525" spans="1:2" x14ac:dyDescent="0.25">
      <c r="A525" t="s">
        <v>354</v>
      </c>
      <c r="B525" s="56">
        <v>300000</v>
      </c>
    </row>
    <row r="526" spans="1:2" x14ac:dyDescent="0.25">
      <c r="A526" t="s">
        <v>352</v>
      </c>
      <c r="B526" s="56">
        <v>100000</v>
      </c>
    </row>
    <row r="527" spans="1:2" x14ac:dyDescent="0.25">
      <c r="A527" t="s">
        <v>353</v>
      </c>
      <c r="B527" s="56">
        <v>200000</v>
      </c>
    </row>
    <row r="528" spans="1:2" x14ac:dyDescent="0.25">
      <c r="A528" t="s">
        <v>354</v>
      </c>
      <c r="B528" s="56">
        <v>300000</v>
      </c>
    </row>
    <row r="529" spans="1:2" x14ac:dyDescent="0.25">
      <c r="A529" t="s">
        <v>352</v>
      </c>
      <c r="B529" s="56">
        <v>100000</v>
      </c>
    </row>
    <row r="530" spans="1:2" x14ac:dyDescent="0.25">
      <c r="A530" t="s">
        <v>353</v>
      </c>
      <c r="B530" s="56">
        <v>200000</v>
      </c>
    </row>
    <row r="531" spans="1:2" x14ac:dyDescent="0.25">
      <c r="A531" t="s">
        <v>354</v>
      </c>
      <c r="B531" s="56">
        <v>300000</v>
      </c>
    </row>
    <row r="532" spans="1:2" x14ac:dyDescent="0.25">
      <c r="A532" t="s">
        <v>352</v>
      </c>
      <c r="B532" s="56">
        <v>100000</v>
      </c>
    </row>
    <row r="533" spans="1:2" x14ac:dyDescent="0.25">
      <c r="A533" t="s">
        <v>353</v>
      </c>
      <c r="B533" s="56">
        <v>200000</v>
      </c>
    </row>
    <row r="534" spans="1:2" x14ac:dyDescent="0.25">
      <c r="A534" t="s">
        <v>354</v>
      </c>
      <c r="B534" s="56">
        <v>300000</v>
      </c>
    </row>
    <row r="535" spans="1:2" x14ac:dyDescent="0.25">
      <c r="A535" t="s">
        <v>352</v>
      </c>
      <c r="B535" s="56">
        <v>100000</v>
      </c>
    </row>
    <row r="536" spans="1:2" x14ac:dyDescent="0.25">
      <c r="A536" t="s">
        <v>353</v>
      </c>
      <c r="B536" s="56">
        <v>200000</v>
      </c>
    </row>
    <row r="537" spans="1:2" x14ac:dyDescent="0.25">
      <c r="A537" t="s">
        <v>354</v>
      </c>
      <c r="B537" s="56">
        <v>300000</v>
      </c>
    </row>
    <row r="538" spans="1:2" x14ac:dyDescent="0.25">
      <c r="A538" t="s">
        <v>352</v>
      </c>
      <c r="B538" s="56">
        <v>100000</v>
      </c>
    </row>
    <row r="539" spans="1:2" x14ac:dyDescent="0.25">
      <c r="A539" t="s">
        <v>353</v>
      </c>
      <c r="B539" s="56">
        <v>200000</v>
      </c>
    </row>
    <row r="540" spans="1:2" x14ac:dyDescent="0.25">
      <c r="A540" t="s">
        <v>354</v>
      </c>
      <c r="B540" s="56">
        <v>300000</v>
      </c>
    </row>
    <row r="541" spans="1:2" x14ac:dyDescent="0.25">
      <c r="A541" t="s">
        <v>352</v>
      </c>
      <c r="B541" s="56">
        <v>100000</v>
      </c>
    </row>
    <row r="542" spans="1:2" x14ac:dyDescent="0.25">
      <c r="A542" t="s">
        <v>353</v>
      </c>
      <c r="B542" s="56">
        <v>200000</v>
      </c>
    </row>
    <row r="543" spans="1:2" x14ac:dyDescent="0.25">
      <c r="A543" t="s">
        <v>354</v>
      </c>
      <c r="B543" s="56">
        <v>300000</v>
      </c>
    </row>
    <row r="544" spans="1:2" x14ac:dyDescent="0.25">
      <c r="A544" t="s">
        <v>352</v>
      </c>
      <c r="B544" s="56">
        <v>100000</v>
      </c>
    </row>
    <row r="545" spans="1:2" x14ac:dyDescent="0.25">
      <c r="A545" t="s">
        <v>353</v>
      </c>
      <c r="B545" s="56">
        <v>200000</v>
      </c>
    </row>
    <row r="546" spans="1:2" x14ac:dyDescent="0.25">
      <c r="A546" t="s">
        <v>354</v>
      </c>
      <c r="B546" s="56">
        <v>300000</v>
      </c>
    </row>
    <row r="547" spans="1:2" x14ac:dyDescent="0.25">
      <c r="A547" t="s">
        <v>352</v>
      </c>
      <c r="B547" s="56">
        <v>100000</v>
      </c>
    </row>
    <row r="548" spans="1:2" x14ac:dyDescent="0.25">
      <c r="A548" t="s">
        <v>353</v>
      </c>
      <c r="B548" s="56">
        <v>200000</v>
      </c>
    </row>
    <row r="549" spans="1:2" x14ac:dyDescent="0.25">
      <c r="A549" t="s">
        <v>354</v>
      </c>
      <c r="B549" s="56">
        <v>300000</v>
      </c>
    </row>
    <row r="550" spans="1:2" x14ac:dyDescent="0.25">
      <c r="A550" t="s">
        <v>352</v>
      </c>
      <c r="B550" s="56">
        <v>100000</v>
      </c>
    </row>
    <row r="551" spans="1:2" x14ac:dyDescent="0.25">
      <c r="A551" t="s">
        <v>353</v>
      </c>
      <c r="B551" s="56">
        <v>200000</v>
      </c>
    </row>
    <row r="552" spans="1:2" x14ac:dyDescent="0.25">
      <c r="A552" t="s">
        <v>354</v>
      </c>
      <c r="B552" s="56">
        <v>300000</v>
      </c>
    </row>
    <row r="553" spans="1:2" x14ac:dyDescent="0.25">
      <c r="A553" t="s">
        <v>352</v>
      </c>
      <c r="B553" s="56">
        <v>100000</v>
      </c>
    </row>
    <row r="554" spans="1:2" x14ac:dyDescent="0.25">
      <c r="A554" t="s">
        <v>353</v>
      </c>
      <c r="B554" s="56">
        <v>200000</v>
      </c>
    </row>
    <row r="555" spans="1:2" x14ac:dyDescent="0.25">
      <c r="A555" t="s">
        <v>354</v>
      </c>
      <c r="B555" s="56">
        <v>300000</v>
      </c>
    </row>
    <row r="556" spans="1:2" x14ac:dyDescent="0.25">
      <c r="A556" t="s">
        <v>352</v>
      </c>
      <c r="B556" s="56">
        <v>100000</v>
      </c>
    </row>
    <row r="557" spans="1:2" x14ac:dyDescent="0.25">
      <c r="A557" t="s">
        <v>353</v>
      </c>
      <c r="B557" s="56">
        <v>200000</v>
      </c>
    </row>
    <row r="558" spans="1:2" x14ac:dyDescent="0.25">
      <c r="A558" t="s">
        <v>354</v>
      </c>
      <c r="B558" s="56">
        <v>300000</v>
      </c>
    </row>
    <row r="559" spans="1:2" x14ac:dyDescent="0.25">
      <c r="A559" t="s">
        <v>352</v>
      </c>
      <c r="B559" s="56">
        <v>100000</v>
      </c>
    </row>
    <row r="560" spans="1:2" x14ac:dyDescent="0.25">
      <c r="A560" t="s">
        <v>353</v>
      </c>
      <c r="B560" s="56">
        <v>200000</v>
      </c>
    </row>
    <row r="561" spans="1:2" x14ac:dyDescent="0.25">
      <c r="A561" t="s">
        <v>354</v>
      </c>
      <c r="B561" s="56">
        <v>300000</v>
      </c>
    </row>
    <row r="562" spans="1:2" x14ac:dyDescent="0.25">
      <c r="A562" t="s">
        <v>352</v>
      </c>
      <c r="B562" s="56">
        <v>100000</v>
      </c>
    </row>
    <row r="563" spans="1:2" x14ac:dyDescent="0.25">
      <c r="A563" t="s">
        <v>353</v>
      </c>
      <c r="B563" s="56">
        <v>200000</v>
      </c>
    </row>
    <row r="564" spans="1:2" x14ac:dyDescent="0.25">
      <c r="A564" t="s">
        <v>354</v>
      </c>
      <c r="B564" s="56">
        <v>300000</v>
      </c>
    </row>
    <row r="565" spans="1:2" x14ac:dyDescent="0.25">
      <c r="A565" t="s">
        <v>352</v>
      </c>
      <c r="B565" s="56">
        <v>100000</v>
      </c>
    </row>
    <row r="566" spans="1:2" x14ac:dyDescent="0.25">
      <c r="A566" t="s">
        <v>353</v>
      </c>
      <c r="B566" s="56">
        <v>200000</v>
      </c>
    </row>
    <row r="567" spans="1:2" x14ac:dyDescent="0.25">
      <c r="A567" t="s">
        <v>354</v>
      </c>
      <c r="B567" s="56">
        <v>300000</v>
      </c>
    </row>
    <row r="568" spans="1:2" x14ac:dyDescent="0.25">
      <c r="A568" t="s">
        <v>352</v>
      </c>
      <c r="B568" s="56">
        <v>100000</v>
      </c>
    </row>
    <row r="569" spans="1:2" x14ac:dyDescent="0.25">
      <c r="A569" t="s">
        <v>353</v>
      </c>
      <c r="B569" s="56">
        <v>200000</v>
      </c>
    </row>
    <row r="570" spans="1:2" x14ac:dyDescent="0.25">
      <c r="A570" t="s">
        <v>354</v>
      </c>
      <c r="B570" s="56">
        <v>300000</v>
      </c>
    </row>
    <row r="571" spans="1:2" x14ac:dyDescent="0.25">
      <c r="A571" t="s">
        <v>352</v>
      </c>
      <c r="B571" s="56">
        <v>100000</v>
      </c>
    </row>
    <row r="572" spans="1:2" x14ac:dyDescent="0.25">
      <c r="A572" t="s">
        <v>353</v>
      </c>
      <c r="B572" s="56">
        <v>200000</v>
      </c>
    </row>
    <row r="573" spans="1:2" x14ac:dyDescent="0.25">
      <c r="A573" t="s">
        <v>354</v>
      </c>
      <c r="B573" s="56">
        <v>300000</v>
      </c>
    </row>
    <row r="574" spans="1:2" x14ac:dyDescent="0.25">
      <c r="A574" t="s">
        <v>352</v>
      </c>
      <c r="B574" s="56">
        <v>100000</v>
      </c>
    </row>
    <row r="575" spans="1:2" x14ac:dyDescent="0.25">
      <c r="A575" t="s">
        <v>353</v>
      </c>
      <c r="B575" s="56">
        <v>200000</v>
      </c>
    </row>
    <row r="576" spans="1:2" x14ac:dyDescent="0.25">
      <c r="A576" t="s">
        <v>354</v>
      </c>
      <c r="B576" s="56">
        <v>300000</v>
      </c>
    </row>
    <row r="577" spans="1:2" x14ac:dyDescent="0.25">
      <c r="A577" t="s">
        <v>352</v>
      </c>
      <c r="B577" s="56">
        <v>100000</v>
      </c>
    </row>
    <row r="578" spans="1:2" x14ac:dyDescent="0.25">
      <c r="A578" t="s">
        <v>353</v>
      </c>
      <c r="B578" s="56">
        <v>200000</v>
      </c>
    </row>
    <row r="579" spans="1:2" x14ac:dyDescent="0.25">
      <c r="A579" t="s">
        <v>354</v>
      </c>
      <c r="B579" s="56">
        <v>300000</v>
      </c>
    </row>
    <row r="580" spans="1:2" x14ac:dyDescent="0.25">
      <c r="A580" t="s">
        <v>352</v>
      </c>
      <c r="B580" s="56">
        <v>100000</v>
      </c>
    </row>
    <row r="581" spans="1:2" x14ac:dyDescent="0.25">
      <c r="A581" t="s">
        <v>353</v>
      </c>
      <c r="B581" s="56">
        <v>200000</v>
      </c>
    </row>
    <row r="582" spans="1:2" x14ac:dyDescent="0.25">
      <c r="A582" t="s">
        <v>354</v>
      </c>
      <c r="B582" s="56">
        <v>300000</v>
      </c>
    </row>
    <row r="583" spans="1:2" x14ac:dyDescent="0.25">
      <c r="A583" t="s">
        <v>352</v>
      </c>
      <c r="B583" s="56">
        <v>100000</v>
      </c>
    </row>
    <row r="584" spans="1:2" x14ac:dyDescent="0.25">
      <c r="A584" t="s">
        <v>353</v>
      </c>
      <c r="B584" s="56">
        <v>200000</v>
      </c>
    </row>
    <row r="585" spans="1:2" x14ac:dyDescent="0.25">
      <c r="A585" t="s">
        <v>354</v>
      </c>
      <c r="B585" s="56">
        <v>300000</v>
      </c>
    </row>
    <row r="586" spans="1:2" x14ac:dyDescent="0.25">
      <c r="A586" t="s">
        <v>352</v>
      </c>
      <c r="B586" s="56">
        <v>100000</v>
      </c>
    </row>
    <row r="587" spans="1:2" x14ac:dyDescent="0.25">
      <c r="A587" t="s">
        <v>353</v>
      </c>
      <c r="B587" s="56">
        <v>200000</v>
      </c>
    </row>
    <row r="588" spans="1:2" x14ac:dyDescent="0.25">
      <c r="A588" t="s">
        <v>354</v>
      </c>
      <c r="B588" s="56">
        <v>300000</v>
      </c>
    </row>
    <row r="589" spans="1:2" x14ac:dyDescent="0.25">
      <c r="A589" t="s">
        <v>352</v>
      </c>
      <c r="B589" s="56">
        <v>100000</v>
      </c>
    </row>
    <row r="590" spans="1:2" x14ac:dyDescent="0.25">
      <c r="A590" t="s">
        <v>353</v>
      </c>
      <c r="B590" s="56">
        <v>200000</v>
      </c>
    </row>
    <row r="591" spans="1:2" x14ac:dyDescent="0.25">
      <c r="A591" t="s">
        <v>354</v>
      </c>
      <c r="B591" s="56">
        <v>300000</v>
      </c>
    </row>
    <row r="592" spans="1:2" x14ac:dyDescent="0.25">
      <c r="A592" t="s">
        <v>352</v>
      </c>
      <c r="B592" s="56">
        <v>100000</v>
      </c>
    </row>
    <row r="593" spans="1:2" x14ac:dyDescent="0.25">
      <c r="A593" t="s">
        <v>353</v>
      </c>
      <c r="B593" s="56">
        <v>200000</v>
      </c>
    </row>
    <row r="594" spans="1:2" x14ac:dyDescent="0.25">
      <c r="A594" t="s">
        <v>354</v>
      </c>
      <c r="B594" s="56">
        <v>300000</v>
      </c>
    </row>
    <row r="595" spans="1:2" x14ac:dyDescent="0.25">
      <c r="A595" t="s">
        <v>352</v>
      </c>
      <c r="B595" s="56">
        <v>100000</v>
      </c>
    </row>
    <row r="596" spans="1:2" x14ac:dyDescent="0.25">
      <c r="A596" t="s">
        <v>353</v>
      </c>
      <c r="B596" s="56">
        <v>200000</v>
      </c>
    </row>
    <row r="597" spans="1:2" x14ac:dyDescent="0.25">
      <c r="A597" t="s">
        <v>354</v>
      </c>
      <c r="B597" s="56">
        <v>300000</v>
      </c>
    </row>
    <row r="598" spans="1:2" x14ac:dyDescent="0.25">
      <c r="A598" t="s">
        <v>352</v>
      </c>
      <c r="B598" s="56">
        <v>100000</v>
      </c>
    </row>
    <row r="599" spans="1:2" x14ac:dyDescent="0.25">
      <c r="A599" t="s">
        <v>353</v>
      </c>
      <c r="B599" s="56">
        <v>200000</v>
      </c>
    </row>
    <row r="600" spans="1:2" x14ac:dyDescent="0.25">
      <c r="A600" t="s">
        <v>354</v>
      </c>
      <c r="B600" s="56">
        <v>300000</v>
      </c>
    </row>
    <row r="601" spans="1:2" x14ac:dyDescent="0.25">
      <c r="A601" t="s">
        <v>352</v>
      </c>
      <c r="B601" s="56">
        <v>100000</v>
      </c>
    </row>
    <row r="602" spans="1:2" x14ac:dyDescent="0.25">
      <c r="A602" t="s">
        <v>353</v>
      </c>
      <c r="B602" s="56">
        <v>200000</v>
      </c>
    </row>
    <row r="603" spans="1:2" x14ac:dyDescent="0.25">
      <c r="A603" t="s">
        <v>354</v>
      </c>
      <c r="B603" s="56">
        <v>300000</v>
      </c>
    </row>
    <row r="604" spans="1:2" x14ac:dyDescent="0.25">
      <c r="A604" t="s">
        <v>352</v>
      </c>
      <c r="B604" s="56">
        <v>100000</v>
      </c>
    </row>
    <row r="605" spans="1:2" x14ac:dyDescent="0.25">
      <c r="A605" t="s">
        <v>353</v>
      </c>
      <c r="B605" s="56">
        <v>200000</v>
      </c>
    </row>
    <row r="606" spans="1:2" x14ac:dyDescent="0.25">
      <c r="A606" t="s">
        <v>354</v>
      </c>
      <c r="B606" s="56">
        <v>300000</v>
      </c>
    </row>
    <row r="607" spans="1:2" x14ac:dyDescent="0.25">
      <c r="A607" t="s">
        <v>352</v>
      </c>
      <c r="B607" s="56">
        <v>100000</v>
      </c>
    </row>
    <row r="608" spans="1:2" x14ac:dyDescent="0.25">
      <c r="A608" t="s">
        <v>353</v>
      </c>
      <c r="B608" s="56">
        <v>200000</v>
      </c>
    </row>
    <row r="609" spans="1:2" x14ac:dyDescent="0.25">
      <c r="A609" t="s">
        <v>354</v>
      </c>
      <c r="B609" s="56">
        <v>300000</v>
      </c>
    </row>
    <row r="610" spans="1:2" x14ac:dyDescent="0.25">
      <c r="A610" t="s">
        <v>352</v>
      </c>
      <c r="B610" s="56">
        <v>100000</v>
      </c>
    </row>
    <row r="611" spans="1:2" x14ac:dyDescent="0.25">
      <c r="A611" t="s">
        <v>353</v>
      </c>
      <c r="B611" s="56">
        <v>200000</v>
      </c>
    </row>
    <row r="612" spans="1:2" x14ac:dyDescent="0.25">
      <c r="A612" t="s">
        <v>354</v>
      </c>
      <c r="B612" s="56">
        <v>300000</v>
      </c>
    </row>
    <row r="613" spans="1:2" x14ac:dyDescent="0.25">
      <c r="A613" t="s">
        <v>352</v>
      </c>
      <c r="B613" s="56">
        <v>100000</v>
      </c>
    </row>
    <row r="614" spans="1:2" x14ac:dyDescent="0.25">
      <c r="A614" t="s">
        <v>353</v>
      </c>
      <c r="B614" s="56">
        <v>200000</v>
      </c>
    </row>
    <row r="615" spans="1:2" x14ac:dyDescent="0.25">
      <c r="A615" t="s">
        <v>354</v>
      </c>
      <c r="B615" s="56">
        <v>300000</v>
      </c>
    </row>
    <row r="616" spans="1:2" x14ac:dyDescent="0.25">
      <c r="A616" t="s">
        <v>352</v>
      </c>
      <c r="B616" s="56">
        <v>100000</v>
      </c>
    </row>
    <row r="617" spans="1:2" x14ac:dyDescent="0.25">
      <c r="A617" t="s">
        <v>353</v>
      </c>
      <c r="B617" s="56">
        <v>200000</v>
      </c>
    </row>
    <row r="618" spans="1:2" x14ac:dyDescent="0.25">
      <c r="A618" t="s">
        <v>354</v>
      </c>
      <c r="B618" s="56">
        <v>300000</v>
      </c>
    </row>
    <row r="619" spans="1:2" x14ac:dyDescent="0.25">
      <c r="A619" t="s">
        <v>352</v>
      </c>
      <c r="B619" s="56">
        <v>100000</v>
      </c>
    </row>
    <row r="620" spans="1:2" x14ac:dyDescent="0.25">
      <c r="A620" t="s">
        <v>353</v>
      </c>
      <c r="B620" s="56">
        <v>200000</v>
      </c>
    </row>
    <row r="621" spans="1:2" x14ac:dyDescent="0.25">
      <c r="A621" t="s">
        <v>354</v>
      </c>
      <c r="B621" s="56">
        <v>300000</v>
      </c>
    </row>
    <row r="622" spans="1:2" x14ac:dyDescent="0.25">
      <c r="A622" t="s">
        <v>352</v>
      </c>
      <c r="B622" s="56">
        <v>100000</v>
      </c>
    </row>
    <row r="623" spans="1:2" x14ac:dyDescent="0.25">
      <c r="A623" t="s">
        <v>353</v>
      </c>
      <c r="B623" s="56">
        <v>200000</v>
      </c>
    </row>
    <row r="624" spans="1:2" x14ac:dyDescent="0.25">
      <c r="A624" t="s">
        <v>354</v>
      </c>
      <c r="B624" s="56">
        <v>300000</v>
      </c>
    </row>
    <row r="625" spans="1:2" x14ac:dyDescent="0.25">
      <c r="A625" t="s">
        <v>352</v>
      </c>
      <c r="B625" s="56">
        <v>100000</v>
      </c>
    </row>
    <row r="626" spans="1:2" x14ac:dyDescent="0.25">
      <c r="A626" t="s">
        <v>353</v>
      </c>
      <c r="B626" s="56">
        <v>200000</v>
      </c>
    </row>
    <row r="627" spans="1:2" x14ac:dyDescent="0.25">
      <c r="A627" t="s">
        <v>354</v>
      </c>
      <c r="B627" s="56">
        <v>300000</v>
      </c>
    </row>
    <row r="628" spans="1:2" x14ac:dyDescent="0.25">
      <c r="A628" t="s">
        <v>352</v>
      </c>
      <c r="B628" s="56">
        <v>100000</v>
      </c>
    </row>
    <row r="629" spans="1:2" x14ac:dyDescent="0.25">
      <c r="A629" t="s">
        <v>353</v>
      </c>
      <c r="B629" s="56">
        <v>200000</v>
      </c>
    </row>
    <row r="630" spans="1:2" x14ac:dyDescent="0.25">
      <c r="A630" t="s">
        <v>354</v>
      </c>
      <c r="B630" s="56">
        <v>300000</v>
      </c>
    </row>
    <row r="631" spans="1:2" x14ac:dyDescent="0.25">
      <c r="A631" t="s">
        <v>352</v>
      </c>
      <c r="B631" s="56">
        <v>100000</v>
      </c>
    </row>
    <row r="632" spans="1:2" x14ac:dyDescent="0.25">
      <c r="A632" t="s">
        <v>353</v>
      </c>
      <c r="B632" s="56">
        <v>200000</v>
      </c>
    </row>
    <row r="633" spans="1:2" x14ac:dyDescent="0.25">
      <c r="A633" t="s">
        <v>354</v>
      </c>
      <c r="B633" s="56">
        <v>300000</v>
      </c>
    </row>
    <row r="634" spans="1:2" x14ac:dyDescent="0.25">
      <c r="A634" t="s">
        <v>352</v>
      </c>
      <c r="B634" s="56">
        <v>100000</v>
      </c>
    </row>
    <row r="635" spans="1:2" x14ac:dyDescent="0.25">
      <c r="A635" t="s">
        <v>353</v>
      </c>
      <c r="B635" s="56">
        <v>200000</v>
      </c>
    </row>
    <row r="636" spans="1:2" x14ac:dyDescent="0.25">
      <c r="A636" t="s">
        <v>354</v>
      </c>
      <c r="B636" s="56">
        <v>300000</v>
      </c>
    </row>
    <row r="637" spans="1:2" x14ac:dyDescent="0.25">
      <c r="A637" t="s">
        <v>352</v>
      </c>
      <c r="B637" s="56">
        <v>100000</v>
      </c>
    </row>
    <row r="638" spans="1:2" x14ac:dyDescent="0.25">
      <c r="A638" t="s">
        <v>353</v>
      </c>
      <c r="B638" s="56">
        <v>200000</v>
      </c>
    </row>
    <row r="639" spans="1:2" x14ac:dyDescent="0.25">
      <c r="A639" t="s">
        <v>354</v>
      </c>
      <c r="B639" s="56">
        <v>300000</v>
      </c>
    </row>
    <row r="640" spans="1:2" x14ac:dyDescent="0.25">
      <c r="A640" t="s">
        <v>352</v>
      </c>
      <c r="B640" s="56">
        <v>100000</v>
      </c>
    </row>
    <row r="641" spans="1:2" x14ac:dyDescent="0.25">
      <c r="A641" t="s">
        <v>353</v>
      </c>
      <c r="B641" s="56">
        <v>200000</v>
      </c>
    </row>
    <row r="642" spans="1:2" x14ac:dyDescent="0.25">
      <c r="A642" t="s">
        <v>354</v>
      </c>
      <c r="B642" s="56">
        <v>300000</v>
      </c>
    </row>
    <row r="643" spans="1:2" x14ac:dyDescent="0.25">
      <c r="A643" t="s">
        <v>352</v>
      </c>
      <c r="B643" s="56">
        <v>100000</v>
      </c>
    </row>
    <row r="644" spans="1:2" x14ac:dyDescent="0.25">
      <c r="A644" t="s">
        <v>353</v>
      </c>
      <c r="B644" s="56">
        <v>200000</v>
      </c>
    </row>
    <row r="645" spans="1:2" x14ac:dyDescent="0.25">
      <c r="A645" t="s">
        <v>354</v>
      </c>
      <c r="B645" s="56">
        <v>300000</v>
      </c>
    </row>
    <row r="646" spans="1:2" x14ac:dyDescent="0.25">
      <c r="A646" t="s">
        <v>352</v>
      </c>
      <c r="B646" s="56">
        <v>100000</v>
      </c>
    </row>
    <row r="647" spans="1:2" x14ac:dyDescent="0.25">
      <c r="A647" t="s">
        <v>353</v>
      </c>
      <c r="B647" s="56">
        <v>200000</v>
      </c>
    </row>
    <row r="648" spans="1:2" x14ac:dyDescent="0.25">
      <c r="A648" t="s">
        <v>354</v>
      </c>
      <c r="B648" s="56">
        <v>300000</v>
      </c>
    </row>
    <row r="649" spans="1:2" x14ac:dyDescent="0.25">
      <c r="A649" t="s">
        <v>352</v>
      </c>
      <c r="B649" s="56">
        <v>100000</v>
      </c>
    </row>
    <row r="650" spans="1:2" x14ac:dyDescent="0.25">
      <c r="A650" t="s">
        <v>353</v>
      </c>
      <c r="B650" s="56">
        <v>200000</v>
      </c>
    </row>
    <row r="651" spans="1:2" x14ac:dyDescent="0.25">
      <c r="A651" t="s">
        <v>354</v>
      </c>
      <c r="B651" s="56">
        <v>300000</v>
      </c>
    </row>
    <row r="652" spans="1:2" x14ac:dyDescent="0.25">
      <c r="A652" t="s">
        <v>352</v>
      </c>
      <c r="B652" s="56">
        <v>100000</v>
      </c>
    </row>
    <row r="653" spans="1:2" x14ac:dyDescent="0.25">
      <c r="A653" t="s">
        <v>353</v>
      </c>
      <c r="B653" s="56">
        <v>200000</v>
      </c>
    </row>
    <row r="654" spans="1:2" x14ac:dyDescent="0.25">
      <c r="A654" t="s">
        <v>354</v>
      </c>
      <c r="B654" s="56">
        <v>300000</v>
      </c>
    </row>
    <row r="655" spans="1:2" x14ac:dyDescent="0.25">
      <c r="A655" t="s">
        <v>352</v>
      </c>
      <c r="B655" s="56">
        <v>100000</v>
      </c>
    </row>
    <row r="656" spans="1:2" x14ac:dyDescent="0.25">
      <c r="A656" t="s">
        <v>353</v>
      </c>
      <c r="B656" s="56">
        <v>200000</v>
      </c>
    </row>
    <row r="657" spans="1:2" x14ac:dyDescent="0.25">
      <c r="A657" t="s">
        <v>354</v>
      </c>
      <c r="B657" s="56">
        <v>300000</v>
      </c>
    </row>
    <row r="658" spans="1:2" x14ac:dyDescent="0.25">
      <c r="A658" t="s">
        <v>352</v>
      </c>
      <c r="B658" s="56">
        <v>100000</v>
      </c>
    </row>
    <row r="659" spans="1:2" x14ac:dyDescent="0.25">
      <c r="A659" t="s">
        <v>353</v>
      </c>
      <c r="B659" s="56">
        <v>200000</v>
      </c>
    </row>
    <row r="660" spans="1:2" x14ac:dyDescent="0.25">
      <c r="A660" t="s">
        <v>354</v>
      </c>
      <c r="B660" s="56">
        <v>300000</v>
      </c>
    </row>
    <row r="661" spans="1:2" x14ac:dyDescent="0.25">
      <c r="A661" t="s">
        <v>352</v>
      </c>
      <c r="B661" s="56">
        <v>100000</v>
      </c>
    </row>
    <row r="662" spans="1:2" x14ac:dyDescent="0.25">
      <c r="A662" t="s">
        <v>353</v>
      </c>
      <c r="B662" s="56">
        <v>200000</v>
      </c>
    </row>
    <row r="663" spans="1:2" x14ac:dyDescent="0.25">
      <c r="A663" t="s">
        <v>354</v>
      </c>
      <c r="B663" s="56">
        <v>300000</v>
      </c>
    </row>
    <row r="664" spans="1:2" x14ac:dyDescent="0.25">
      <c r="A664" t="s">
        <v>352</v>
      </c>
      <c r="B664" s="56">
        <v>100000</v>
      </c>
    </row>
    <row r="665" spans="1:2" x14ac:dyDescent="0.25">
      <c r="A665" t="s">
        <v>353</v>
      </c>
      <c r="B665" s="56">
        <v>200000</v>
      </c>
    </row>
    <row r="666" spans="1:2" x14ac:dyDescent="0.25">
      <c r="A666" t="s">
        <v>354</v>
      </c>
      <c r="B666" s="56">
        <v>300000</v>
      </c>
    </row>
    <row r="667" spans="1:2" x14ac:dyDescent="0.25">
      <c r="A667" t="s">
        <v>352</v>
      </c>
      <c r="B667" s="56">
        <v>100000</v>
      </c>
    </row>
    <row r="668" spans="1:2" x14ac:dyDescent="0.25">
      <c r="A668" t="s">
        <v>353</v>
      </c>
      <c r="B668" s="56">
        <v>200000</v>
      </c>
    </row>
    <row r="669" spans="1:2" x14ac:dyDescent="0.25">
      <c r="A669" t="s">
        <v>354</v>
      </c>
      <c r="B669" s="56">
        <v>300000</v>
      </c>
    </row>
    <row r="670" spans="1:2" x14ac:dyDescent="0.25">
      <c r="A670" t="s">
        <v>352</v>
      </c>
      <c r="B670" s="56">
        <v>100000</v>
      </c>
    </row>
    <row r="671" spans="1:2" x14ac:dyDescent="0.25">
      <c r="A671" t="s">
        <v>353</v>
      </c>
      <c r="B671" s="56">
        <v>200000</v>
      </c>
    </row>
    <row r="672" spans="1:2" x14ac:dyDescent="0.25">
      <c r="A672" t="s">
        <v>354</v>
      </c>
      <c r="B672" s="56">
        <v>300000</v>
      </c>
    </row>
    <row r="673" spans="1:2" x14ac:dyDescent="0.25">
      <c r="A673" t="s">
        <v>352</v>
      </c>
      <c r="B673" s="56">
        <v>100000</v>
      </c>
    </row>
    <row r="674" spans="1:2" x14ac:dyDescent="0.25">
      <c r="A674" t="s">
        <v>353</v>
      </c>
      <c r="B674" s="56">
        <v>200000</v>
      </c>
    </row>
    <row r="675" spans="1:2" x14ac:dyDescent="0.25">
      <c r="A675" t="s">
        <v>354</v>
      </c>
      <c r="B675" s="56">
        <v>300000</v>
      </c>
    </row>
    <row r="676" spans="1:2" x14ac:dyDescent="0.25">
      <c r="A676" t="s">
        <v>352</v>
      </c>
      <c r="B676" s="56">
        <v>100000</v>
      </c>
    </row>
    <row r="677" spans="1:2" x14ac:dyDescent="0.25">
      <c r="A677" t="s">
        <v>353</v>
      </c>
      <c r="B677" s="56">
        <v>200000</v>
      </c>
    </row>
    <row r="678" spans="1:2" x14ac:dyDescent="0.25">
      <c r="A678" t="s">
        <v>354</v>
      </c>
      <c r="B678" s="56">
        <v>300000</v>
      </c>
    </row>
    <row r="679" spans="1:2" x14ac:dyDescent="0.25">
      <c r="A679" t="s">
        <v>352</v>
      </c>
      <c r="B679" s="56">
        <v>100000</v>
      </c>
    </row>
    <row r="680" spans="1:2" x14ac:dyDescent="0.25">
      <c r="A680" t="s">
        <v>353</v>
      </c>
      <c r="B680" s="56">
        <v>200000</v>
      </c>
    </row>
    <row r="681" spans="1:2" x14ac:dyDescent="0.25">
      <c r="A681" t="s">
        <v>354</v>
      </c>
      <c r="B681" s="56">
        <v>300000</v>
      </c>
    </row>
    <row r="682" spans="1:2" x14ac:dyDescent="0.25">
      <c r="A682" t="s">
        <v>352</v>
      </c>
      <c r="B682" s="56">
        <v>100000</v>
      </c>
    </row>
    <row r="683" spans="1:2" x14ac:dyDescent="0.25">
      <c r="A683" t="s">
        <v>353</v>
      </c>
      <c r="B683" s="56">
        <v>200000</v>
      </c>
    </row>
    <row r="684" spans="1:2" x14ac:dyDescent="0.25">
      <c r="A684" t="s">
        <v>354</v>
      </c>
      <c r="B684" s="56">
        <v>300000</v>
      </c>
    </row>
    <row r="685" spans="1:2" x14ac:dyDescent="0.25">
      <c r="A685" t="s">
        <v>352</v>
      </c>
      <c r="B685" s="56">
        <v>100000</v>
      </c>
    </row>
    <row r="686" spans="1:2" x14ac:dyDescent="0.25">
      <c r="A686" t="s">
        <v>353</v>
      </c>
      <c r="B686" s="56">
        <v>200000</v>
      </c>
    </row>
    <row r="687" spans="1:2" x14ac:dyDescent="0.25">
      <c r="A687" t="s">
        <v>354</v>
      </c>
      <c r="B687" s="56">
        <v>300000</v>
      </c>
    </row>
    <row r="688" spans="1:2" x14ac:dyDescent="0.25">
      <c r="A688" t="s">
        <v>352</v>
      </c>
      <c r="B688" s="56">
        <v>100000</v>
      </c>
    </row>
    <row r="689" spans="1:2" x14ac:dyDescent="0.25">
      <c r="A689" t="s">
        <v>353</v>
      </c>
      <c r="B689" s="56">
        <v>200000</v>
      </c>
    </row>
    <row r="690" spans="1:2" x14ac:dyDescent="0.25">
      <c r="A690" t="s">
        <v>354</v>
      </c>
      <c r="B690" s="56">
        <v>300000</v>
      </c>
    </row>
    <row r="691" spans="1:2" x14ac:dyDescent="0.25">
      <c r="A691" t="s">
        <v>352</v>
      </c>
      <c r="B691" s="56">
        <v>100000</v>
      </c>
    </row>
    <row r="692" spans="1:2" x14ac:dyDescent="0.25">
      <c r="A692" t="s">
        <v>353</v>
      </c>
      <c r="B692" s="56">
        <v>200000</v>
      </c>
    </row>
    <row r="693" spans="1:2" x14ac:dyDescent="0.25">
      <c r="A693" t="s">
        <v>354</v>
      </c>
      <c r="B693" s="56">
        <v>300000</v>
      </c>
    </row>
    <row r="694" spans="1:2" x14ac:dyDescent="0.25">
      <c r="A694" t="s">
        <v>352</v>
      </c>
      <c r="B694" s="56">
        <v>100000</v>
      </c>
    </row>
    <row r="695" spans="1:2" x14ac:dyDescent="0.25">
      <c r="A695" t="s">
        <v>353</v>
      </c>
      <c r="B695" s="56">
        <v>200000</v>
      </c>
    </row>
    <row r="696" spans="1:2" x14ac:dyDescent="0.25">
      <c r="A696" t="s">
        <v>354</v>
      </c>
      <c r="B696" s="56">
        <v>300000</v>
      </c>
    </row>
    <row r="697" spans="1:2" x14ac:dyDescent="0.25">
      <c r="A697" t="s">
        <v>352</v>
      </c>
      <c r="B697" s="56">
        <v>100000</v>
      </c>
    </row>
    <row r="698" spans="1:2" x14ac:dyDescent="0.25">
      <c r="A698" t="s">
        <v>353</v>
      </c>
      <c r="B698" s="56">
        <v>200000</v>
      </c>
    </row>
    <row r="699" spans="1:2" x14ac:dyDescent="0.25">
      <c r="A699" t="s">
        <v>354</v>
      </c>
      <c r="B699" s="56">
        <v>300000</v>
      </c>
    </row>
    <row r="700" spans="1:2" x14ac:dyDescent="0.25">
      <c r="A700" t="s">
        <v>352</v>
      </c>
      <c r="B700" s="56">
        <v>100000</v>
      </c>
    </row>
    <row r="701" spans="1:2" x14ac:dyDescent="0.25">
      <c r="A701" t="s">
        <v>353</v>
      </c>
      <c r="B701" s="56">
        <v>200000</v>
      </c>
    </row>
    <row r="702" spans="1:2" x14ac:dyDescent="0.25">
      <c r="A702" t="s">
        <v>354</v>
      </c>
      <c r="B702" s="56">
        <v>300000</v>
      </c>
    </row>
    <row r="703" spans="1:2" x14ac:dyDescent="0.25">
      <c r="A703" t="s">
        <v>352</v>
      </c>
      <c r="B703" s="56">
        <v>100000</v>
      </c>
    </row>
    <row r="704" spans="1:2" x14ac:dyDescent="0.25">
      <c r="A704" t="s">
        <v>353</v>
      </c>
      <c r="B704" s="56">
        <v>200000</v>
      </c>
    </row>
    <row r="705" spans="1:2" x14ac:dyDescent="0.25">
      <c r="A705" t="s">
        <v>354</v>
      </c>
      <c r="B705" s="56">
        <v>300000</v>
      </c>
    </row>
    <row r="706" spans="1:2" x14ac:dyDescent="0.25">
      <c r="A706" t="s">
        <v>352</v>
      </c>
      <c r="B706" s="56">
        <v>100000</v>
      </c>
    </row>
    <row r="707" spans="1:2" x14ac:dyDescent="0.25">
      <c r="A707" t="s">
        <v>353</v>
      </c>
      <c r="B707" s="56">
        <v>200000</v>
      </c>
    </row>
    <row r="708" spans="1:2" x14ac:dyDescent="0.25">
      <c r="A708" t="s">
        <v>354</v>
      </c>
      <c r="B708" s="56">
        <v>300000</v>
      </c>
    </row>
    <row r="709" spans="1:2" x14ac:dyDescent="0.25">
      <c r="A709" t="s">
        <v>352</v>
      </c>
      <c r="B709" s="56">
        <v>100000</v>
      </c>
    </row>
    <row r="710" spans="1:2" x14ac:dyDescent="0.25">
      <c r="A710" t="s">
        <v>353</v>
      </c>
      <c r="B710" s="56">
        <v>200000</v>
      </c>
    </row>
    <row r="711" spans="1:2" x14ac:dyDescent="0.25">
      <c r="A711" t="s">
        <v>354</v>
      </c>
      <c r="B711" s="56">
        <v>300000</v>
      </c>
    </row>
    <row r="712" spans="1:2" x14ac:dyDescent="0.25">
      <c r="A712" t="s">
        <v>352</v>
      </c>
      <c r="B712" s="56">
        <v>100000</v>
      </c>
    </row>
    <row r="713" spans="1:2" x14ac:dyDescent="0.25">
      <c r="A713" t="s">
        <v>353</v>
      </c>
      <c r="B713" s="56">
        <v>200000</v>
      </c>
    </row>
    <row r="714" spans="1:2" x14ac:dyDescent="0.25">
      <c r="A714" t="s">
        <v>354</v>
      </c>
      <c r="B714" s="56">
        <v>300000</v>
      </c>
    </row>
    <row r="715" spans="1:2" x14ac:dyDescent="0.25">
      <c r="A715" t="s">
        <v>352</v>
      </c>
      <c r="B715" s="56">
        <v>100000</v>
      </c>
    </row>
    <row r="716" spans="1:2" x14ac:dyDescent="0.25">
      <c r="A716" t="s">
        <v>353</v>
      </c>
      <c r="B716" s="56">
        <v>200000</v>
      </c>
    </row>
    <row r="717" spans="1:2" x14ac:dyDescent="0.25">
      <c r="A717" t="s">
        <v>354</v>
      </c>
      <c r="B717" s="56">
        <v>300000</v>
      </c>
    </row>
    <row r="718" spans="1:2" x14ac:dyDescent="0.25">
      <c r="A718" t="s">
        <v>352</v>
      </c>
      <c r="B718" s="56">
        <v>100000</v>
      </c>
    </row>
    <row r="719" spans="1:2" x14ac:dyDescent="0.25">
      <c r="A719" t="s">
        <v>353</v>
      </c>
      <c r="B719" s="56">
        <v>200000</v>
      </c>
    </row>
    <row r="720" spans="1:2" x14ac:dyDescent="0.25">
      <c r="A720" t="s">
        <v>354</v>
      </c>
      <c r="B720" s="56">
        <v>300000</v>
      </c>
    </row>
    <row r="721" spans="1:2" x14ac:dyDescent="0.25">
      <c r="A721" t="s">
        <v>352</v>
      </c>
      <c r="B721" s="56">
        <v>100000</v>
      </c>
    </row>
    <row r="722" spans="1:2" x14ac:dyDescent="0.25">
      <c r="A722" t="s">
        <v>353</v>
      </c>
      <c r="B722" s="56">
        <v>200000</v>
      </c>
    </row>
    <row r="723" spans="1:2" x14ac:dyDescent="0.25">
      <c r="A723" t="s">
        <v>354</v>
      </c>
      <c r="B723" s="56">
        <v>300000</v>
      </c>
    </row>
    <row r="724" spans="1:2" x14ac:dyDescent="0.25">
      <c r="A724" t="s">
        <v>352</v>
      </c>
      <c r="B724" s="56">
        <v>100000</v>
      </c>
    </row>
    <row r="725" spans="1:2" x14ac:dyDescent="0.25">
      <c r="A725" t="s">
        <v>353</v>
      </c>
      <c r="B725" s="56">
        <v>200000</v>
      </c>
    </row>
    <row r="726" spans="1:2" x14ac:dyDescent="0.25">
      <c r="A726" t="s">
        <v>354</v>
      </c>
      <c r="B726" s="56">
        <v>300000</v>
      </c>
    </row>
    <row r="727" spans="1:2" x14ac:dyDescent="0.25">
      <c r="A727" t="s">
        <v>352</v>
      </c>
      <c r="B727" s="56">
        <v>100000</v>
      </c>
    </row>
    <row r="728" spans="1:2" x14ac:dyDescent="0.25">
      <c r="A728" t="s">
        <v>353</v>
      </c>
      <c r="B728" s="56">
        <v>200000</v>
      </c>
    </row>
    <row r="729" spans="1:2" x14ac:dyDescent="0.25">
      <c r="A729" t="s">
        <v>354</v>
      </c>
      <c r="B729" s="56">
        <v>300000</v>
      </c>
    </row>
    <row r="730" spans="1:2" x14ac:dyDescent="0.25">
      <c r="A730" t="s">
        <v>352</v>
      </c>
      <c r="B730" s="56">
        <v>100000</v>
      </c>
    </row>
    <row r="731" spans="1:2" x14ac:dyDescent="0.25">
      <c r="A731" t="s">
        <v>353</v>
      </c>
      <c r="B731" s="56">
        <v>200000</v>
      </c>
    </row>
    <row r="732" spans="1:2" x14ac:dyDescent="0.25">
      <c r="A732" t="s">
        <v>354</v>
      </c>
      <c r="B732" s="56">
        <v>300000</v>
      </c>
    </row>
    <row r="733" spans="1:2" x14ac:dyDescent="0.25">
      <c r="A733" t="s">
        <v>352</v>
      </c>
      <c r="B733" s="56">
        <v>100000</v>
      </c>
    </row>
    <row r="734" spans="1:2" x14ac:dyDescent="0.25">
      <c r="A734" t="s">
        <v>353</v>
      </c>
      <c r="B734" s="56">
        <v>200000</v>
      </c>
    </row>
    <row r="735" spans="1:2" x14ac:dyDescent="0.25">
      <c r="A735" t="s">
        <v>354</v>
      </c>
      <c r="B735" s="56">
        <v>300000</v>
      </c>
    </row>
    <row r="736" spans="1:2" x14ac:dyDescent="0.25">
      <c r="A736" t="s">
        <v>352</v>
      </c>
      <c r="B736" s="56">
        <v>100000</v>
      </c>
    </row>
    <row r="737" spans="1:2" x14ac:dyDescent="0.25">
      <c r="A737" t="s">
        <v>353</v>
      </c>
      <c r="B737" s="56">
        <v>200000</v>
      </c>
    </row>
    <row r="738" spans="1:2" x14ac:dyDescent="0.25">
      <c r="A738" t="s">
        <v>354</v>
      </c>
      <c r="B738" s="56">
        <v>300000</v>
      </c>
    </row>
    <row r="739" spans="1:2" x14ac:dyDescent="0.25">
      <c r="A739" t="s">
        <v>352</v>
      </c>
      <c r="B739" s="56">
        <v>100000</v>
      </c>
    </row>
    <row r="740" spans="1:2" x14ac:dyDescent="0.25">
      <c r="A740" t="s">
        <v>353</v>
      </c>
      <c r="B740" s="56">
        <v>200000</v>
      </c>
    </row>
    <row r="741" spans="1:2" x14ac:dyDescent="0.25">
      <c r="A741" t="s">
        <v>354</v>
      </c>
      <c r="B741" s="56">
        <v>300000</v>
      </c>
    </row>
    <row r="742" spans="1:2" x14ac:dyDescent="0.25">
      <c r="A742" t="s">
        <v>352</v>
      </c>
      <c r="B742" s="56">
        <v>100000</v>
      </c>
    </row>
    <row r="743" spans="1:2" x14ac:dyDescent="0.25">
      <c r="A743" t="s">
        <v>353</v>
      </c>
      <c r="B743" s="56">
        <v>200000</v>
      </c>
    </row>
    <row r="744" spans="1:2" x14ac:dyDescent="0.25">
      <c r="A744" t="s">
        <v>354</v>
      </c>
      <c r="B744" s="56">
        <v>300000</v>
      </c>
    </row>
    <row r="745" spans="1:2" x14ac:dyDescent="0.25">
      <c r="A745" t="s">
        <v>352</v>
      </c>
      <c r="B745" s="56">
        <v>100000</v>
      </c>
    </row>
    <row r="746" spans="1:2" x14ac:dyDescent="0.25">
      <c r="A746" t="s">
        <v>353</v>
      </c>
      <c r="B746" s="56">
        <v>200000</v>
      </c>
    </row>
    <row r="747" spans="1:2" x14ac:dyDescent="0.25">
      <c r="A747" t="s">
        <v>354</v>
      </c>
      <c r="B747" s="56">
        <v>300000</v>
      </c>
    </row>
    <row r="748" spans="1:2" x14ac:dyDescent="0.25">
      <c r="A748" t="s">
        <v>352</v>
      </c>
      <c r="B748" s="56">
        <v>100000</v>
      </c>
    </row>
    <row r="749" spans="1:2" x14ac:dyDescent="0.25">
      <c r="A749" t="s">
        <v>353</v>
      </c>
      <c r="B749" s="56">
        <v>200000</v>
      </c>
    </row>
    <row r="750" spans="1:2" x14ac:dyDescent="0.25">
      <c r="A750" t="s">
        <v>354</v>
      </c>
      <c r="B750" s="56">
        <v>300000</v>
      </c>
    </row>
    <row r="751" spans="1:2" x14ac:dyDescent="0.25">
      <c r="A751" t="s">
        <v>352</v>
      </c>
      <c r="B751" s="56">
        <v>100000</v>
      </c>
    </row>
    <row r="752" spans="1:2" x14ac:dyDescent="0.25">
      <c r="A752" t="s">
        <v>353</v>
      </c>
      <c r="B752" s="56">
        <v>200000</v>
      </c>
    </row>
    <row r="753" spans="1:2" x14ac:dyDescent="0.25">
      <c r="A753" t="s">
        <v>354</v>
      </c>
      <c r="B753" s="56">
        <v>300000</v>
      </c>
    </row>
    <row r="754" spans="1:2" x14ac:dyDescent="0.25">
      <c r="A754" t="s">
        <v>352</v>
      </c>
      <c r="B754" s="56">
        <v>100000</v>
      </c>
    </row>
    <row r="755" spans="1:2" x14ac:dyDescent="0.25">
      <c r="A755" t="s">
        <v>353</v>
      </c>
      <c r="B755" s="56">
        <v>200000</v>
      </c>
    </row>
    <row r="756" spans="1:2" x14ac:dyDescent="0.25">
      <c r="A756" t="s">
        <v>354</v>
      </c>
      <c r="B756" s="56">
        <v>300000</v>
      </c>
    </row>
    <row r="757" spans="1:2" x14ac:dyDescent="0.25">
      <c r="A757" t="s">
        <v>352</v>
      </c>
      <c r="B757" s="56">
        <v>100000</v>
      </c>
    </row>
    <row r="758" spans="1:2" x14ac:dyDescent="0.25">
      <c r="A758" t="s">
        <v>353</v>
      </c>
      <c r="B758" s="56">
        <v>200000</v>
      </c>
    </row>
    <row r="759" spans="1:2" x14ac:dyDescent="0.25">
      <c r="A759" t="s">
        <v>354</v>
      </c>
      <c r="B759" s="56">
        <v>300000</v>
      </c>
    </row>
    <row r="760" spans="1:2" x14ac:dyDescent="0.25">
      <c r="A760" t="s">
        <v>352</v>
      </c>
      <c r="B760" s="56">
        <v>100000</v>
      </c>
    </row>
    <row r="761" spans="1:2" x14ac:dyDescent="0.25">
      <c r="A761" t="s">
        <v>353</v>
      </c>
      <c r="B761" s="56">
        <v>200000</v>
      </c>
    </row>
    <row r="762" spans="1:2" x14ac:dyDescent="0.25">
      <c r="A762" t="s">
        <v>354</v>
      </c>
      <c r="B762" s="56">
        <v>300000</v>
      </c>
    </row>
    <row r="763" spans="1:2" x14ac:dyDescent="0.25">
      <c r="A763" t="s">
        <v>352</v>
      </c>
      <c r="B763" s="56">
        <v>100000</v>
      </c>
    </row>
    <row r="764" spans="1:2" x14ac:dyDescent="0.25">
      <c r="A764" t="s">
        <v>353</v>
      </c>
      <c r="B764" s="56">
        <v>200000</v>
      </c>
    </row>
    <row r="765" spans="1:2" x14ac:dyDescent="0.25">
      <c r="A765" t="s">
        <v>354</v>
      </c>
      <c r="B765" s="56">
        <v>300000</v>
      </c>
    </row>
    <row r="766" spans="1:2" x14ac:dyDescent="0.25">
      <c r="A766" t="s">
        <v>352</v>
      </c>
      <c r="B766" s="56">
        <v>100000</v>
      </c>
    </row>
    <row r="767" spans="1:2" x14ac:dyDescent="0.25">
      <c r="A767" t="s">
        <v>353</v>
      </c>
      <c r="B767" s="56">
        <v>200000</v>
      </c>
    </row>
    <row r="768" spans="1:2" x14ac:dyDescent="0.25">
      <c r="A768" t="s">
        <v>354</v>
      </c>
      <c r="B768" s="56">
        <v>300000</v>
      </c>
    </row>
    <row r="769" spans="1:2" x14ac:dyDescent="0.25">
      <c r="A769" t="s">
        <v>352</v>
      </c>
      <c r="B769" s="56">
        <v>100000</v>
      </c>
    </row>
    <row r="770" spans="1:2" x14ac:dyDescent="0.25">
      <c r="A770" t="s">
        <v>353</v>
      </c>
      <c r="B770" s="56">
        <v>200000</v>
      </c>
    </row>
    <row r="771" spans="1:2" x14ac:dyDescent="0.25">
      <c r="A771" t="s">
        <v>354</v>
      </c>
      <c r="B771" s="56">
        <v>300000</v>
      </c>
    </row>
    <row r="772" spans="1:2" x14ac:dyDescent="0.25">
      <c r="A772" t="s">
        <v>352</v>
      </c>
      <c r="B772" s="56">
        <v>100000</v>
      </c>
    </row>
    <row r="773" spans="1:2" x14ac:dyDescent="0.25">
      <c r="A773" t="s">
        <v>353</v>
      </c>
      <c r="B773" s="56">
        <v>200000</v>
      </c>
    </row>
    <row r="774" spans="1:2" x14ac:dyDescent="0.25">
      <c r="A774" t="s">
        <v>354</v>
      </c>
      <c r="B774" s="56">
        <v>300000</v>
      </c>
    </row>
    <row r="775" spans="1:2" x14ac:dyDescent="0.25">
      <c r="A775" t="s">
        <v>352</v>
      </c>
      <c r="B775" s="56">
        <v>100000</v>
      </c>
    </row>
    <row r="776" spans="1:2" x14ac:dyDescent="0.25">
      <c r="A776" t="s">
        <v>353</v>
      </c>
      <c r="B776" s="56">
        <v>200000</v>
      </c>
    </row>
    <row r="777" spans="1:2" x14ac:dyDescent="0.25">
      <c r="A777" t="s">
        <v>354</v>
      </c>
      <c r="B777" s="56">
        <v>300000</v>
      </c>
    </row>
    <row r="778" spans="1:2" x14ac:dyDescent="0.25">
      <c r="A778" t="s">
        <v>352</v>
      </c>
      <c r="B778" s="56">
        <v>100000</v>
      </c>
    </row>
    <row r="779" spans="1:2" x14ac:dyDescent="0.25">
      <c r="A779" t="s">
        <v>353</v>
      </c>
      <c r="B779" s="56">
        <v>200000</v>
      </c>
    </row>
    <row r="780" spans="1:2" x14ac:dyDescent="0.25">
      <c r="A780" t="s">
        <v>354</v>
      </c>
      <c r="B780" s="56">
        <v>300000</v>
      </c>
    </row>
    <row r="781" spans="1:2" x14ac:dyDescent="0.25">
      <c r="A781" t="s">
        <v>352</v>
      </c>
      <c r="B781" s="56">
        <v>100000</v>
      </c>
    </row>
    <row r="782" spans="1:2" x14ac:dyDescent="0.25">
      <c r="A782" t="s">
        <v>353</v>
      </c>
      <c r="B782" s="56">
        <v>200000</v>
      </c>
    </row>
    <row r="783" spans="1:2" x14ac:dyDescent="0.25">
      <c r="A783" t="s">
        <v>354</v>
      </c>
      <c r="B783" s="56">
        <v>300000</v>
      </c>
    </row>
    <row r="784" spans="1:2" x14ac:dyDescent="0.25">
      <c r="A784" t="s">
        <v>352</v>
      </c>
      <c r="B784" s="56">
        <v>100000</v>
      </c>
    </row>
    <row r="785" spans="1:2" x14ac:dyDescent="0.25">
      <c r="A785" t="s">
        <v>353</v>
      </c>
      <c r="B785" s="56">
        <v>200000</v>
      </c>
    </row>
    <row r="786" spans="1:2" x14ac:dyDescent="0.25">
      <c r="A786" t="s">
        <v>354</v>
      </c>
      <c r="B786" s="56">
        <v>300000</v>
      </c>
    </row>
    <row r="787" spans="1:2" x14ac:dyDescent="0.25">
      <c r="A787" t="s">
        <v>352</v>
      </c>
      <c r="B787" s="56">
        <v>100000</v>
      </c>
    </row>
    <row r="788" spans="1:2" x14ac:dyDescent="0.25">
      <c r="A788" t="s">
        <v>353</v>
      </c>
      <c r="B788" s="56">
        <v>200000</v>
      </c>
    </row>
    <row r="789" spans="1:2" x14ac:dyDescent="0.25">
      <c r="A789" t="s">
        <v>354</v>
      </c>
      <c r="B789" s="56">
        <v>300000</v>
      </c>
    </row>
    <row r="790" spans="1:2" x14ac:dyDescent="0.25">
      <c r="A790" t="s">
        <v>352</v>
      </c>
      <c r="B790" s="56">
        <v>100000</v>
      </c>
    </row>
    <row r="791" spans="1:2" x14ac:dyDescent="0.25">
      <c r="A791" t="s">
        <v>353</v>
      </c>
      <c r="B791" s="56">
        <v>200000</v>
      </c>
    </row>
    <row r="792" spans="1:2" x14ac:dyDescent="0.25">
      <c r="A792" t="s">
        <v>354</v>
      </c>
      <c r="B792" s="56">
        <v>300000</v>
      </c>
    </row>
    <row r="793" spans="1:2" x14ac:dyDescent="0.25">
      <c r="A793" t="s">
        <v>352</v>
      </c>
      <c r="B793" s="56">
        <v>100000</v>
      </c>
    </row>
    <row r="794" spans="1:2" x14ac:dyDescent="0.25">
      <c r="A794" t="s">
        <v>353</v>
      </c>
      <c r="B794" s="56">
        <v>200000</v>
      </c>
    </row>
    <row r="795" spans="1:2" x14ac:dyDescent="0.25">
      <c r="A795" t="s">
        <v>354</v>
      </c>
      <c r="B795" s="56">
        <v>300000</v>
      </c>
    </row>
    <row r="796" spans="1:2" x14ac:dyDescent="0.25">
      <c r="A796" t="s">
        <v>352</v>
      </c>
      <c r="B796" s="56">
        <v>100000</v>
      </c>
    </row>
    <row r="797" spans="1:2" x14ac:dyDescent="0.25">
      <c r="A797" t="s">
        <v>353</v>
      </c>
      <c r="B797" s="56">
        <v>200000</v>
      </c>
    </row>
    <row r="798" spans="1:2" x14ac:dyDescent="0.25">
      <c r="A798" t="s">
        <v>354</v>
      </c>
      <c r="B798" s="56">
        <v>300000</v>
      </c>
    </row>
    <row r="799" spans="1:2" x14ac:dyDescent="0.25">
      <c r="A799" t="s">
        <v>352</v>
      </c>
      <c r="B799" s="56">
        <v>100000</v>
      </c>
    </row>
    <row r="800" spans="1:2" x14ac:dyDescent="0.25">
      <c r="A800" t="s">
        <v>353</v>
      </c>
      <c r="B800" s="56">
        <v>200000</v>
      </c>
    </row>
    <row r="801" spans="1:2" x14ac:dyDescent="0.25">
      <c r="A801" t="s">
        <v>354</v>
      </c>
      <c r="B801" s="56">
        <v>300000</v>
      </c>
    </row>
    <row r="802" spans="1:2" x14ac:dyDescent="0.25">
      <c r="A802" t="s">
        <v>352</v>
      </c>
      <c r="B802" s="56">
        <v>100000</v>
      </c>
    </row>
    <row r="803" spans="1:2" x14ac:dyDescent="0.25">
      <c r="A803" t="s">
        <v>353</v>
      </c>
      <c r="B803" s="56">
        <v>200000</v>
      </c>
    </row>
    <row r="804" spans="1:2" x14ac:dyDescent="0.25">
      <c r="A804" t="s">
        <v>354</v>
      </c>
      <c r="B804" s="56">
        <v>300000</v>
      </c>
    </row>
    <row r="805" spans="1:2" x14ac:dyDescent="0.25">
      <c r="A805" t="s">
        <v>352</v>
      </c>
      <c r="B805" s="56">
        <v>100000</v>
      </c>
    </row>
    <row r="806" spans="1:2" x14ac:dyDescent="0.25">
      <c r="A806" t="s">
        <v>353</v>
      </c>
      <c r="B806" s="56">
        <v>200000</v>
      </c>
    </row>
    <row r="807" spans="1:2" x14ac:dyDescent="0.25">
      <c r="A807" t="s">
        <v>354</v>
      </c>
      <c r="B807" s="56">
        <v>300000</v>
      </c>
    </row>
    <row r="808" spans="1:2" x14ac:dyDescent="0.25">
      <c r="A808" t="s">
        <v>352</v>
      </c>
      <c r="B808" s="56">
        <v>100000</v>
      </c>
    </row>
    <row r="809" spans="1:2" x14ac:dyDescent="0.25">
      <c r="A809" t="s">
        <v>353</v>
      </c>
      <c r="B809" s="56">
        <v>200000</v>
      </c>
    </row>
    <row r="810" spans="1:2" x14ac:dyDescent="0.25">
      <c r="A810" t="s">
        <v>354</v>
      </c>
      <c r="B810" s="56">
        <v>300000</v>
      </c>
    </row>
    <row r="811" spans="1:2" x14ac:dyDescent="0.25">
      <c r="A811" t="s">
        <v>352</v>
      </c>
      <c r="B811" s="56">
        <v>100000</v>
      </c>
    </row>
    <row r="812" spans="1:2" x14ac:dyDescent="0.25">
      <c r="A812" t="s">
        <v>353</v>
      </c>
      <c r="B812" s="56">
        <v>200000</v>
      </c>
    </row>
    <row r="813" spans="1:2" x14ac:dyDescent="0.25">
      <c r="A813" t="s">
        <v>354</v>
      </c>
      <c r="B813" s="56">
        <v>300000</v>
      </c>
    </row>
    <row r="814" spans="1:2" x14ac:dyDescent="0.25">
      <c r="A814" t="s">
        <v>352</v>
      </c>
      <c r="B814" s="56">
        <v>100000</v>
      </c>
    </row>
    <row r="815" spans="1:2" x14ac:dyDescent="0.25">
      <c r="A815" t="s">
        <v>353</v>
      </c>
      <c r="B815" s="56">
        <v>200000</v>
      </c>
    </row>
    <row r="816" spans="1:2" x14ac:dyDescent="0.25">
      <c r="A816" t="s">
        <v>354</v>
      </c>
      <c r="B816" s="56">
        <v>300000</v>
      </c>
    </row>
    <row r="817" spans="1:2" x14ac:dyDescent="0.25">
      <c r="A817" t="s">
        <v>352</v>
      </c>
      <c r="B817" s="56">
        <v>100000</v>
      </c>
    </row>
    <row r="818" spans="1:2" x14ac:dyDescent="0.25">
      <c r="A818" t="s">
        <v>353</v>
      </c>
      <c r="B818" s="56">
        <v>200000</v>
      </c>
    </row>
    <row r="819" spans="1:2" x14ac:dyDescent="0.25">
      <c r="A819" t="s">
        <v>354</v>
      </c>
      <c r="B819" s="56">
        <v>300000</v>
      </c>
    </row>
    <row r="820" spans="1:2" x14ac:dyDescent="0.25">
      <c r="A820" t="s">
        <v>352</v>
      </c>
      <c r="B820" s="56">
        <v>100000</v>
      </c>
    </row>
    <row r="821" spans="1:2" x14ac:dyDescent="0.25">
      <c r="A821" t="s">
        <v>353</v>
      </c>
      <c r="B821" s="56">
        <v>200000</v>
      </c>
    </row>
    <row r="822" spans="1:2" x14ac:dyDescent="0.25">
      <c r="A822" t="s">
        <v>354</v>
      </c>
      <c r="B822" s="56">
        <v>300000</v>
      </c>
    </row>
    <row r="823" spans="1:2" x14ac:dyDescent="0.25">
      <c r="A823" t="s">
        <v>352</v>
      </c>
      <c r="B823" s="56">
        <v>100000</v>
      </c>
    </row>
    <row r="824" spans="1:2" x14ac:dyDescent="0.25">
      <c r="A824" t="s">
        <v>353</v>
      </c>
      <c r="B824" s="56">
        <v>200000</v>
      </c>
    </row>
    <row r="825" spans="1:2" x14ac:dyDescent="0.25">
      <c r="A825" t="s">
        <v>354</v>
      </c>
      <c r="B825" s="56">
        <v>300000</v>
      </c>
    </row>
    <row r="826" spans="1:2" x14ac:dyDescent="0.25">
      <c r="A826" t="s">
        <v>352</v>
      </c>
      <c r="B826" s="56">
        <v>100000</v>
      </c>
    </row>
    <row r="827" spans="1:2" x14ac:dyDescent="0.25">
      <c r="A827" t="s">
        <v>353</v>
      </c>
      <c r="B827" s="56">
        <v>200000</v>
      </c>
    </row>
    <row r="828" spans="1:2" x14ac:dyDescent="0.25">
      <c r="A828" t="s">
        <v>354</v>
      </c>
      <c r="B828" s="56">
        <v>300000</v>
      </c>
    </row>
    <row r="829" spans="1:2" x14ac:dyDescent="0.25">
      <c r="A829" t="s">
        <v>352</v>
      </c>
      <c r="B829" s="56">
        <v>100000</v>
      </c>
    </row>
    <row r="830" spans="1:2" x14ac:dyDescent="0.25">
      <c r="A830" t="s">
        <v>353</v>
      </c>
      <c r="B830" s="56">
        <v>200000</v>
      </c>
    </row>
    <row r="831" spans="1:2" x14ac:dyDescent="0.25">
      <c r="A831" t="s">
        <v>354</v>
      </c>
      <c r="B831" s="56">
        <v>300000</v>
      </c>
    </row>
    <row r="832" spans="1:2" x14ac:dyDescent="0.25">
      <c r="A832" t="s">
        <v>352</v>
      </c>
      <c r="B832" s="56">
        <v>100000</v>
      </c>
    </row>
    <row r="833" spans="1:2" x14ac:dyDescent="0.25">
      <c r="A833" t="s">
        <v>353</v>
      </c>
      <c r="B833" s="56">
        <v>200000</v>
      </c>
    </row>
    <row r="834" spans="1:2" x14ac:dyDescent="0.25">
      <c r="A834" t="s">
        <v>354</v>
      </c>
      <c r="B834" s="56">
        <v>300000</v>
      </c>
    </row>
    <row r="835" spans="1:2" x14ac:dyDescent="0.25">
      <c r="A835" t="s">
        <v>352</v>
      </c>
      <c r="B835" s="56">
        <v>100000</v>
      </c>
    </row>
    <row r="836" spans="1:2" x14ac:dyDescent="0.25">
      <c r="A836" t="s">
        <v>353</v>
      </c>
      <c r="B836" s="56">
        <v>200000</v>
      </c>
    </row>
    <row r="837" spans="1:2" x14ac:dyDescent="0.25">
      <c r="A837" t="s">
        <v>354</v>
      </c>
      <c r="B837" s="56">
        <v>300000</v>
      </c>
    </row>
    <row r="838" spans="1:2" x14ac:dyDescent="0.25">
      <c r="A838" t="s">
        <v>352</v>
      </c>
      <c r="B838" s="56">
        <v>100000</v>
      </c>
    </row>
    <row r="839" spans="1:2" x14ac:dyDescent="0.25">
      <c r="A839" t="s">
        <v>353</v>
      </c>
      <c r="B839" s="56">
        <v>200000</v>
      </c>
    </row>
    <row r="840" spans="1:2" x14ac:dyDescent="0.25">
      <c r="A840" t="s">
        <v>354</v>
      </c>
      <c r="B840" s="56">
        <v>300000</v>
      </c>
    </row>
    <row r="841" spans="1:2" x14ac:dyDescent="0.25">
      <c r="A841" t="s">
        <v>352</v>
      </c>
      <c r="B841" s="56">
        <v>100000</v>
      </c>
    </row>
    <row r="842" spans="1:2" x14ac:dyDescent="0.25">
      <c r="A842" t="s">
        <v>353</v>
      </c>
      <c r="B842" s="56">
        <v>200000</v>
      </c>
    </row>
    <row r="843" spans="1:2" x14ac:dyDescent="0.25">
      <c r="A843" t="s">
        <v>354</v>
      </c>
      <c r="B843" s="56">
        <v>300000</v>
      </c>
    </row>
    <row r="844" spans="1:2" x14ac:dyDescent="0.25">
      <c r="A844" t="s">
        <v>352</v>
      </c>
      <c r="B844" s="56">
        <v>100000</v>
      </c>
    </row>
    <row r="845" spans="1:2" x14ac:dyDescent="0.25">
      <c r="A845" t="s">
        <v>353</v>
      </c>
      <c r="B845" s="56">
        <v>200000</v>
      </c>
    </row>
    <row r="846" spans="1:2" x14ac:dyDescent="0.25">
      <c r="A846" t="s">
        <v>354</v>
      </c>
      <c r="B846" s="56">
        <v>300000</v>
      </c>
    </row>
    <row r="847" spans="1:2" x14ac:dyDescent="0.25">
      <c r="A847" t="s">
        <v>352</v>
      </c>
      <c r="B847" s="56">
        <v>100000</v>
      </c>
    </row>
    <row r="848" spans="1:2" x14ac:dyDescent="0.25">
      <c r="A848" t="s">
        <v>353</v>
      </c>
      <c r="B848" s="56">
        <v>200000</v>
      </c>
    </row>
    <row r="849" spans="1:2" x14ac:dyDescent="0.25">
      <c r="A849" t="s">
        <v>354</v>
      </c>
      <c r="B849" s="56">
        <v>300000</v>
      </c>
    </row>
    <row r="850" spans="1:2" x14ac:dyDescent="0.25">
      <c r="A850" t="s">
        <v>352</v>
      </c>
      <c r="B850" s="56">
        <v>100000</v>
      </c>
    </row>
    <row r="851" spans="1:2" x14ac:dyDescent="0.25">
      <c r="A851" t="s">
        <v>353</v>
      </c>
      <c r="B851" s="56">
        <v>200000</v>
      </c>
    </row>
    <row r="852" spans="1:2" x14ac:dyDescent="0.25">
      <c r="A852" t="s">
        <v>354</v>
      </c>
      <c r="B852" s="56">
        <v>300000</v>
      </c>
    </row>
    <row r="853" spans="1:2" x14ac:dyDescent="0.25">
      <c r="A853" t="s">
        <v>352</v>
      </c>
      <c r="B853" s="56">
        <v>100000</v>
      </c>
    </row>
    <row r="854" spans="1:2" x14ac:dyDescent="0.25">
      <c r="A854" t="s">
        <v>353</v>
      </c>
      <c r="B854" s="56">
        <v>200000</v>
      </c>
    </row>
    <row r="855" spans="1:2" x14ac:dyDescent="0.25">
      <c r="A855" t="s">
        <v>354</v>
      </c>
      <c r="B855" s="56">
        <v>300000</v>
      </c>
    </row>
    <row r="856" spans="1:2" x14ac:dyDescent="0.25">
      <c r="A856" t="s">
        <v>352</v>
      </c>
      <c r="B856" s="56">
        <v>100000</v>
      </c>
    </row>
    <row r="857" spans="1:2" x14ac:dyDescent="0.25">
      <c r="A857" t="s">
        <v>353</v>
      </c>
      <c r="B857" s="56">
        <v>200000</v>
      </c>
    </row>
    <row r="858" spans="1:2" x14ac:dyDescent="0.25">
      <c r="A858" t="s">
        <v>354</v>
      </c>
      <c r="B858" s="56">
        <v>300000</v>
      </c>
    </row>
    <row r="859" spans="1:2" x14ac:dyDescent="0.25">
      <c r="A859" t="s">
        <v>352</v>
      </c>
      <c r="B859" s="56">
        <v>100000</v>
      </c>
    </row>
    <row r="860" spans="1:2" x14ac:dyDescent="0.25">
      <c r="A860" t="s">
        <v>353</v>
      </c>
      <c r="B860" s="56">
        <v>200000</v>
      </c>
    </row>
    <row r="861" spans="1:2" x14ac:dyDescent="0.25">
      <c r="A861" t="s">
        <v>354</v>
      </c>
      <c r="B861" s="56">
        <v>300000</v>
      </c>
    </row>
    <row r="862" spans="1:2" x14ac:dyDescent="0.25">
      <c r="A862" t="s">
        <v>352</v>
      </c>
      <c r="B862" s="56">
        <v>100000</v>
      </c>
    </row>
    <row r="863" spans="1:2" x14ac:dyDescent="0.25">
      <c r="A863" t="s">
        <v>353</v>
      </c>
      <c r="B863" s="56">
        <v>200000</v>
      </c>
    </row>
    <row r="864" spans="1:2" x14ac:dyDescent="0.25">
      <c r="A864" t="s">
        <v>354</v>
      </c>
      <c r="B864" s="56">
        <v>300000</v>
      </c>
    </row>
    <row r="865" spans="1:2" x14ac:dyDescent="0.25">
      <c r="A865" t="s">
        <v>352</v>
      </c>
      <c r="B865" s="56">
        <v>100000</v>
      </c>
    </row>
    <row r="866" spans="1:2" x14ac:dyDescent="0.25">
      <c r="A866" t="s">
        <v>353</v>
      </c>
      <c r="B866" s="56">
        <v>200000</v>
      </c>
    </row>
    <row r="867" spans="1:2" x14ac:dyDescent="0.25">
      <c r="A867" t="s">
        <v>354</v>
      </c>
      <c r="B867" s="56">
        <v>300000</v>
      </c>
    </row>
    <row r="868" spans="1:2" x14ac:dyDescent="0.25">
      <c r="A868" t="s">
        <v>352</v>
      </c>
      <c r="B868" s="56">
        <v>100000</v>
      </c>
    </row>
    <row r="869" spans="1:2" x14ac:dyDescent="0.25">
      <c r="A869" t="s">
        <v>353</v>
      </c>
      <c r="B869" s="56">
        <v>200000</v>
      </c>
    </row>
    <row r="870" spans="1:2" x14ac:dyDescent="0.25">
      <c r="A870" t="s">
        <v>354</v>
      </c>
      <c r="B870" s="56">
        <v>300000</v>
      </c>
    </row>
    <row r="871" spans="1:2" x14ac:dyDescent="0.25">
      <c r="A871" t="s">
        <v>352</v>
      </c>
      <c r="B871" s="56">
        <v>100000</v>
      </c>
    </row>
    <row r="872" spans="1:2" x14ac:dyDescent="0.25">
      <c r="A872" t="s">
        <v>353</v>
      </c>
      <c r="B872" s="56">
        <v>200000</v>
      </c>
    </row>
    <row r="873" spans="1:2" x14ac:dyDescent="0.25">
      <c r="A873" t="s">
        <v>354</v>
      </c>
      <c r="B873" s="56">
        <v>300000</v>
      </c>
    </row>
    <row r="874" spans="1:2" x14ac:dyDescent="0.25">
      <c r="A874" t="s">
        <v>352</v>
      </c>
      <c r="B874" s="56">
        <v>100000</v>
      </c>
    </row>
    <row r="875" spans="1:2" x14ac:dyDescent="0.25">
      <c r="A875" t="s">
        <v>353</v>
      </c>
      <c r="B875" s="56">
        <v>200000</v>
      </c>
    </row>
    <row r="876" spans="1:2" x14ac:dyDescent="0.25">
      <c r="A876" t="s">
        <v>354</v>
      </c>
      <c r="B876" s="56">
        <v>300000</v>
      </c>
    </row>
    <row r="877" spans="1:2" x14ac:dyDescent="0.25">
      <c r="A877" t="s">
        <v>352</v>
      </c>
      <c r="B877" s="56">
        <v>100000</v>
      </c>
    </row>
    <row r="878" spans="1:2" x14ac:dyDescent="0.25">
      <c r="A878" t="s">
        <v>353</v>
      </c>
      <c r="B878" s="56">
        <v>200000</v>
      </c>
    </row>
    <row r="879" spans="1:2" x14ac:dyDescent="0.25">
      <c r="A879" t="s">
        <v>354</v>
      </c>
      <c r="B879" s="56">
        <v>300000</v>
      </c>
    </row>
    <row r="880" spans="1:2" x14ac:dyDescent="0.25">
      <c r="A880" t="s">
        <v>352</v>
      </c>
      <c r="B880" s="56">
        <v>100000</v>
      </c>
    </row>
    <row r="881" spans="1:2" x14ac:dyDescent="0.25">
      <c r="A881" t="s">
        <v>353</v>
      </c>
      <c r="B881" s="56">
        <v>200000</v>
      </c>
    </row>
    <row r="882" spans="1:2" x14ac:dyDescent="0.25">
      <c r="A882" t="s">
        <v>354</v>
      </c>
      <c r="B882" s="56">
        <v>300000</v>
      </c>
    </row>
    <row r="883" spans="1:2" x14ac:dyDescent="0.25">
      <c r="A883" t="s">
        <v>352</v>
      </c>
      <c r="B883" s="56">
        <v>100000</v>
      </c>
    </row>
    <row r="884" spans="1:2" x14ac:dyDescent="0.25">
      <c r="A884" t="s">
        <v>353</v>
      </c>
      <c r="B884" s="56">
        <v>200000</v>
      </c>
    </row>
    <row r="885" spans="1:2" x14ac:dyDescent="0.25">
      <c r="A885" t="s">
        <v>354</v>
      </c>
      <c r="B885" s="56">
        <v>300000</v>
      </c>
    </row>
    <row r="886" spans="1:2" x14ac:dyDescent="0.25">
      <c r="A886" t="s">
        <v>352</v>
      </c>
      <c r="B886" s="56">
        <v>100000</v>
      </c>
    </row>
    <row r="887" spans="1:2" x14ac:dyDescent="0.25">
      <c r="A887" t="s">
        <v>353</v>
      </c>
      <c r="B887" s="56">
        <v>200000</v>
      </c>
    </row>
    <row r="888" spans="1:2" x14ac:dyDescent="0.25">
      <c r="A888" t="s">
        <v>354</v>
      </c>
      <c r="B888" s="56">
        <v>300000</v>
      </c>
    </row>
    <row r="889" spans="1:2" x14ac:dyDescent="0.25">
      <c r="A889" t="s">
        <v>352</v>
      </c>
      <c r="B889" s="56">
        <v>100000</v>
      </c>
    </row>
    <row r="890" spans="1:2" x14ac:dyDescent="0.25">
      <c r="A890" t="s">
        <v>353</v>
      </c>
      <c r="B890" s="56">
        <v>200000</v>
      </c>
    </row>
    <row r="891" spans="1:2" x14ac:dyDescent="0.25">
      <c r="A891" t="s">
        <v>354</v>
      </c>
      <c r="B891" s="56">
        <v>300000</v>
      </c>
    </row>
    <row r="892" spans="1:2" x14ac:dyDescent="0.25">
      <c r="A892" t="s">
        <v>352</v>
      </c>
      <c r="B892" s="56">
        <v>100000</v>
      </c>
    </row>
    <row r="893" spans="1:2" x14ac:dyDescent="0.25">
      <c r="A893" t="s">
        <v>353</v>
      </c>
      <c r="B893" s="56">
        <v>200000</v>
      </c>
    </row>
    <row r="894" spans="1:2" x14ac:dyDescent="0.25">
      <c r="A894" t="s">
        <v>354</v>
      </c>
      <c r="B894" s="56">
        <v>300000</v>
      </c>
    </row>
    <row r="895" spans="1:2" x14ac:dyDescent="0.25">
      <c r="A895" t="s">
        <v>352</v>
      </c>
      <c r="B895" s="56">
        <v>100000</v>
      </c>
    </row>
    <row r="896" spans="1:2" x14ac:dyDescent="0.25">
      <c r="A896" t="s">
        <v>353</v>
      </c>
      <c r="B896" s="56">
        <v>200000</v>
      </c>
    </row>
    <row r="897" spans="1:2" x14ac:dyDescent="0.25">
      <c r="A897" t="s">
        <v>354</v>
      </c>
      <c r="B897" s="56">
        <v>300000</v>
      </c>
    </row>
    <row r="898" spans="1:2" x14ac:dyDescent="0.25">
      <c r="A898" t="s">
        <v>352</v>
      </c>
      <c r="B898" s="56">
        <v>100000</v>
      </c>
    </row>
    <row r="899" spans="1:2" x14ac:dyDescent="0.25">
      <c r="A899" t="s">
        <v>353</v>
      </c>
      <c r="B899" s="56">
        <v>200000</v>
      </c>
    </row>
    <row r="900" spans="1:2" x14ac:dyDescent="0.25">
      <c r="A900" t="s">
        <v>354</v>
      </c>
      <c r="B900" s="56">
        <v>300000</v>
      </c>
    </row>
    <row r="901" spans="1:2" x14ac:dyDescent="0.25">
      <c r="A901" t="s">
        <v>352</v>
      </c>
      <c r="B901" s="56">
        <v>100000</v>
      </c>
    </row>
    <row r="902" spans="1:2" x14ac:dyDescent="0.25">
      <c r="A902" t="s">
        <v>353</v>
      </c>
      <c r="B902" s="56">
        <v>200000</v>
      </c>
    </row>
    <row r="903" spans="1:2" x14ac:dyDescent="0.25">
      <c r="A903" t="s">
        <v>354</v>
      </c>
      <c r="B903" s="56">
        <v>300000</v>
      </c>
    </row>
    <row r="904" spans="1:2" x14ac:dyDescent="0.25">
      <c r="A904" t="s">
        <v>352</v>
      </c>
      <c r="B904" s="56">
        <v>100000</v>
      </c>
    </row>
    <row r="905" spans="1:2" x14ac:dyDescent="0.25">
      <c r="A905" t="s">
        <v>353</v>
      </c>
      <c r="B905" s="56">
        <v>200000</v>
      </c>
    </row>
    <row r="906" spans="1:2" x14ac:dyDescent="0.25">
      <c r="A906" t="s">
        <v>354</v>
      </c>
      <c r="B906" s="56">
        <v>300000</v>
      </c>
    </row>
    <row r="907" spans="1:2" x14ac:dyDescent="0.25">
      <c r="A907" t="s">
        <v>352</v>
      </c>
      <c r="B907" s="56">
        <v>100000</v>
      </c>
    </row>
    <row r="908" spans="1:2" x14ac:dyDescent="0.25">
      <c r="A908" t="s">
        <v>353</v>
      </c>
      <c r="B908" s="56">
        <v>200000</v>
      </c>
    </row>
    <row r="909" spans="1:2" x14ac:dyDescent="0.25">
      <c r="A909" t="s">
        <v>354</v>
      </c>
      <c r="B909" s="56">
        <v>300000</v>
      </c>
    </row>
    <row r="910" spans="1:2" x14ac:dyDescent="0.25">
      <c r="A910" t="s">
        <v>352</v>
      </c>
      <c r="B910" s="56">
        <v>100000</v>
      </c>
    </row>
    <row r="911" spans="1:2" x14ac:dyDescent="0.25">
      <c r="A911" t="s">
        <v>353</v>
      </c>
      <c r="B911" s="56">
        <v>200000</v>
      </c>
    </row>
    <row r="912" spans="1:2" x14ac:dyDescent="0.25">
      <c r="A912" t="s">
        <v>354</v>
      </c>
      <c r="B912" s="56">
        <v>300000</v>
      </c>
    </row>
    <row r="913" spans="1:2" x14ac:dyDescent="0.25">
      <c r="A913" t="s">
        <v>352</v>
      </c>
      <c r="B913" s="56">
        <v>100000</v>
      </c>
    </row>
    <row r="914" spans="1:2" x14ac:dyDescent="0.25">
      <c r="A914" t="s">
        <v>353</v>
      </c>
      <c r="B914" s="56">
        <v>200000</v>
      </c>
    </row>
    <row r="915" spans="1:2" x14ac:dyDescent="0.25">
      <c r="A915" t="s">
        <v>354</v>
      </c>
      <c r="B915" s="56">
        <v>300000</v>
      </c>
    </row>
    <row r="916" spans="1:2" x14ac:dyDescent="0.25">
      <c r="A916" t="s">
        <v>352</v>
      </c>
      <c r="B916" s="56">
        <v>100000</v>
      </c>
    </row>
    <row r="917" spans="1:2" x14ac:dyDescent="0.25">
      <c r="A917" t="s">
        <v>353</v>
      </c>
      <c r="B917" s="56">
        <v>200000</v>
      </c>
    </row>
    <row r="918" spans="1:2" x14ac:dyDescent="0.25">
      <c r="A918" t="s">
        <v>354</v>
      </c>
      <c r="B918" s="56">
        <v>300000</v>
      </c>
    </row>
    <row r="919" spans="1:2" x14ac:dyDescent="0.25">
      <c r="A919" t="s">
        <v>352</v>
      </c>
      <c r="B919" s="56">
        <v>100000</v>
      </c>
    </row>
    <row r="920" spans="1:2" x14ac:dyDescent="0.25">
      <c r="A920" t="s">
        <v>353</v>
      </c>
      <c r="B920" s="56">
        <v>200000</v>
      </c>
    </row>
    <row r="921" spans="1:2" x14ac:dyDescent="0.25">
      <c r="A921" t="s">
        <v>354</v>
      </c>
      <c r="B921" s="56">
        <v>300000</v>
      </c>
    </row>
    <row r="922" spans="1:2" x14ac:dyDescent="0.25">
      <c r="A922" t="s">
        <v>352</v>
      </c>
      <c r="B922" s="56">
        <v>100000</v>
      </c>
    </row>
    <row r="923" spans="1:2" x14ac:dyDescent="0.25">
      <c r="A923" t="s">
        <v>353</v>
      </c>
      <c r="B923" s="56">
        <v>200000</v>
      </c>
    </row>
    <row r="924" spans="1:2" x14ac:dyDescent="0.25">
      <c r="A924" t="s">
        <v>354</v>
      </c>
      <c r="B924" s="56">
        <v>300000</v>
      </c>
    </row>
    <row r="925" spans="1:2" x14ac:dyDescent="0.25">
      <c r="A925" t="s">
        <v>352</v>
      </c>
      <c r="B925" s="56">
        <v>100000</v>
      </c>
    </row>
    <row r="926" spans="1:2" x14ac:dyDescent="0.25">
      <c r="A926" t="s">
        <v>353</v>
      </c>
      <c r="B926" s="56">
        <v>200000</v>
      </c>
    </row>
    <row r="927" spans="1:2" x14ac:dyDescent="0.25">
      <c r="A927" t="s">
        <v>354</v>
      </c>
      <c r="B927" s="56">
        <v>300000</v>
      </c>
    </row>
    <row r="928" spans="1:2" x14ac:dyDescent="0.25">
      <c r="A928" t="s">
        <v>352</v>
      </c>
      <c r="B928" s="56">
        <v>100000</v>
      </c>
    </row>
    <row r="929" spans="1:2" x14ac:dyDescent="0.25">
      <c r="A929" t="s">
        <v>353</v>
      </c>
      <c r="B929" s="56">
        <v>200000</v>
      </c>
    </row>
    <row r="930" spans="1:2" x14ac:dyDescent="0.25">
      <c r="A930" t="s">
        <v>354</v>
      </c>
      <c r="B930" s="56">
        <v>300000</v>
      </c>
    </row>
    <row r="931" spans="1:2" x14ac:dyDescent="0.25">
      <c r="A931" t="s">
        <v>352</v>
      </c>
      <c r="B931" s="56">
        <v>100000</v>
      </c>
    </row>
    <row r="932" spans="1:2" x14ac:dyDescent="0.25">
      <c r="A932" t="s">
        <v>353</v>
      </c>
      <c r="B932" s="56">
        <v>200000</v>
      </c>
    </row>
    <row r="933" spans="1:2" x14ac:dyDescent="0.25">
      <c r="A933" t="s">
        <v>354</v>
      </c>
      <c r="B933" s="56">
        <v>300000</v>
      </c>
    </row>
    <row r="934" spans="1:2" x14ac:dyDescent="0.25">
      <c r="A934" t="s">
        <v>352</v>
      </c>
      <c r="B934" s="56">
        <v>100000</v>
      </c>
    </row>
    <row r="935" spans="1:2" x14ac:dyDescent="0.25">
      <c r="A935" t="s">
        <v>353</v>
      </c>
      <c r="B935" s="56">
        <v>200000</v>
      </c>
    </row>
    <row r="936" spans="1:2" x14ac:dyDescent="0.25">
      <c r="A936" t="s">
        <v>354</v>
      </c>
      <c r="B936" s="56">
        <v>300000</v>
      </c>
    </row>
    <row r="937" spans="1:2" x14ac:dyDescent="0.25">
      <c r="A937" t="s">
        <v>352</v>
      </c>
      <c r="B937" s="56">
        <v>100000</v>
      </c>
    </row>
    <row r="938" spans="1:2" x14ac:dyDescent="0.25">
      <c r="A938" t="s">
        <v>353</v>
      </c>
      <c r="B938" s="56">
        <v>200000</v>
      </c>
    </row>
    <row r="939" spans="1:2" x14ac:dyDescent="0.25">
      <c r="A939" t="s">
        <v>354</v>
      </c>
      <c r="B939" s="56">
        <v>300000</v>
      </c>
    </row>
    <row r="940" spans="1:2" x14ac:dyDescent="0.25">
      <c r="A940" t="s">
        <v>352</v>
      </c>
      <c r="B940" s="56">
        <v>100000</v>
      </c>
    </row>
    <row r="941" spans="1:2" x14ac:dyDescent="0.25">
      <c r="A941" t="s">
        <v>353</v>
      </c>
      <c r="B941" s="56">
        <v>200000</v>
      </c>
    </row>
    <row r="942" spans="1:2" x14ac:dyDescent="0.25">
      <c r="A942" t="s">
        <v>354</v>
      </c>
      <c r="B942" s="56">
        <v>300000</v>
      </c>
    </row>
    <row r="943" spans="1:2" x14ac:dyDescent="0.25">
      <c r="A943" t="s">
        <v>352</v>
      </c>
      <c r="B943" s="56">
        <v>100000</v>
      </c>
    </row>
    <row r="944" spans="1:2" x14ac:dyDescent="0.25">
      <c r="A944" t="s">
        <v>353</v>
      </c>
      <c r="B944" s="56">
        <v>200000</v>
      </c>
    </row>
    <row r="945" spans="1:2" x14ac:dyDescent="0.25">
      <c r="A945" t="s">
        <v>354</v>
      </c>
      <c r="B945" s="56">
        <v>300000</v>
      </c>
    </row>
    <row r="946" spans="1:2" x14ac:dyDescent="0.25">
      <c r="A946" t="s">
        <v>352</v>
      </c>
      <c r="B946" s="56">
        <v>100000</v>
      </c>
    </row>
    <row r="947" spans="1:2" x14ac:dyDescent="0.25">
      <c r="A947" t="s">
        <v>353</v>
      </c>
      <c r="B947" s="56">
        <v>200000</v>
      </c>
    </row>
    <row r="948" spans="1:2" x14ac:dyDescent="0.25">
      <c r="A948" t="s">
        <v>354</v>
      </c>
      <c r="B948" s="56">
        <v>300000</v>
      </c>
    </row>
    <row r="949" spans="1:2" x14ac:dyDescent="0.25">
      <c r="A949" t="s">
        <v>352</v>
      </c>
      <c r="B949" s="56">
        <v>100000</v>
      </c>
    </row>
    <row r="950" spans="1:2" x14ac:dyDescent="0.25">
      <c r="A950" t="s">
        <v>353</v>
      </c>
      <c r="B950" s="56">
        <v>200000</v>
      </c>
    </row>
    <row r="951" spans="1:2" x14ac:dyDescent="0.25">
      <c r="A951" t="s">
        <v>354</v>
      </c>
      <c r="B951" s="56">
        <v>300000</v>
      </c>
    </row>
    <row r="952" spans="1:2" x14ac:dyDescent="0.25">
      <c r="A952" t="s">
        <v>352</v>
      </c>
      <c r="B952" s="56">
        <v>100000</v>
      </c>
    </row>
    <row r="953" spans="1:2" x14ac:dyDescent="0.25">
      <c r="A953" t="s">
        <v>353</v>
      </c>
      <c r="B953" s="56">
        <v>200000</v>
      </c>
    </row>
    <row r="954" spans="1:2" x14ac:dyDescent="0.25">
      <c r="A954" t="s">
        <v>354</v>
      </c>
      <c r="B954" s="56">
        <v>300000</v>
      </c>
    </row>
    <row r="955" spans="1:2" x14ac:dyDescent="0.25">
      <c r="A955" t="s">
        <v>352</v>
      </c>
      <c r="B955" s="56">
        <v>100000</v>
      </c>
    </row>
    <row r="956" spans="1:2" x14ac:dyDescent="0.25">
      <c r="A956" t="s">
        <v>353</v>
      </c>
      <c r="B956" s="56">
        <v>200000</v>
      </c>
    </row>
    <row r="957" spans="1:2" x14ac:dyDescent="0.25">
      <c r="A957" t="s">
        <v>354</v>
      </c>
      <c r="B957" s="56">
        <v>300000</v>
      </c>
    </row>
    <row r="958" spans="1:2" x14ac:dyDescent="0.25">
      <c r="A958" t="s">
        <v>352</v>
      </c>
      <c r="B958" s="56">
        <v>100000</v>
      </c>
    </row>
    <row r="959" spans="1:2" x14ac:dyDescent="0.25">
      <c r="A959" t="s">
        <v>353</v>
      </c>
      <c r="B959" s="56">
        <v>200000</v>
      </c>
    </row>
    <row r="960" spans="1:2" x14ac:dyDescent="0.25">
      <c r="A960" t="s">
        <v>354</v>
      </c>
      <c r="B960" s="56">
        <v>300000</v>
      </c>
    </row>
    <row r="961" spans="1:2" x14ac:dyDescent="0.25">
      <c r="A961" t="s">
        <v>352</v>
      </c>
      <c r="B961" s="56">
        <v>100000</v>
      </c>
    </row>
    <row r="962" spans="1:2" x14ac:dyDescent="0.25">
      <c r="A962" t="s">
        <v>353</v>
      </c>
      <c r="B962" s="56">
        <v>200000</v>
      </c>
    </row>
    <row r="963" spans="1:2" x14ac:dyDescent="0.25">
      <c r="A963" t="s">
        <v>354</v>
      </c>
      <c r="B963" s="56">
        <v>300000</v>
      </c>
    </row>
    <row r="964" spans="1:2" x14ac:dyDescent="0.25">
      <c r="A964" t="s">
        <v>352</v>
      </c>
      <c r="B964" s="56">
        <v>100000</v>
      </c>
    </row>
    <row r="965" spans="1:2" x14ac:dyDescent="0.25">
      <c r="A965" t="s">
        <v>353</v>
      </c>
      <c r="B965" s="56">
        <v>200000</v>
      </c>
    </row>
    <row r="966" spans="1:2" x14ac:dyDescent="0.25">
      <c r="A966" t="s">
        <v>354</v>
      </c>
      <c r="B966" s="56">
        <v>300000</v>
      </c>
    </row>
    <row r="967" spans="1:2" x14ac:dyDescent="0.25">
      <c r="A967" t="s">
        <v>352</v>
      </c>
      <c r="B967" s="56">
        <v>100000</v>
      </c>
    </row>
    <row r="968" spans="1:2" x14ac:dyDescent="0.25">
      <c r="A968" t="s">
        <v>353</v>
      </c>
      <c r="B968" s="56">
        <v>200000</v>
      </c>
    </row>
    <row r="969" spans="1:2" x14ac:dyDescent="0.25">
      <c r="A969" t="s">
        <v>354</v>
      </c>
      <c r="B969" s="56">
        <v>300000</v>
      </c>
    </row>
    <row r="970" spans="1:2" x14ac:dyDescent="0.25">
      <c r="A970" t="s">
        <v>352</v>
      </c>
      <c r="B970" s="56">
        <v>100000</v>
      </c>
    </row>
    <row r="971" spans="1:2" x14ac:dyDescent="0.25">
      <c r="A971" t="s">
        <v>353</v>
      </c>
      <c r="B971" s="56">
        <v>200000</v>
      </c>
    </row>
    <row r="972" spans="1:2" x14ac:dyDescent="0.25">
      <c r="A972" t="s">
        <v>354</v>
      </c>
      <c r="B972" s="56">
        <v>300000</v>
      </c>
    </row>
    <row r="973" spans="1:2" x14ac:dyDescent="0.25">
      <c r="A973" t="s">
        <v>352</v>
      </c>
      <c r="B973" s="56">
        <v>100000</v>
      </c>
    </row>
    <row r="974" spans="1:2" x14ac:dyDescent="0.25">
      <c r="A974" t="s">
        <v>353</v>
      </c>
      <c r="B974" s="56">
        <v>200000</v>
      </c>
    </row>
    <row r="975" spans="1:2" x14ac:dyDescent="0.25">
      <c r="A975" t="s">
        <v>354</v>
      </c>
      <c r="B975" s="56">
        <v>300000</v>
      </c>
    </row>
    <row r="976" spans="1:2" x14ac:dyDescent="0.25">
      <c r="A976" t="s">
        <v>352</v>
      </c>
      <c r="B976" s="56">
        <v>100000</v>
      </c>
    </row>
    <row r="977" spans="1:2" x14ac:dyDescent="0.25">
      <c r="A977" t="s">
        <v>353</v>
      </c>
      <c r="B977" s="56">
        <v>200000</v>
      </c>
    </row>
    <row r="978" spans="1:2" x14ac:dyDescent="0.25">
      <c r="A978" t="s">
        <v>354</v>
      </c>
      <c r="B978" s="56">
        <v>300000</v>
      </c>
    </row>
    <row r="979" spans="1:2" x14ac:dyDescent="0.25">
      <c r="A979" t="s">
        <v>352</v>
      </c>
      <c r="B979" s="56">
        <v>100000</v>
      </c>
    </row>
    <row r="980" spans="1:2" x14ac:dyDescent="0.25">
      <c r="A980" t="s">
        <v>353</v>
      </c>
      <c r="B980" s="56">
        <v>200000</v>
      </c>
    </row>
    <row r="981" spans="1:2" x14ac:dyDescent="0.25">
      <c r="A981" t="s">
        <v>354</v>
      </c>
      <c r="B981" s="56">
        <v>300000</v>
      </c>
    </row>
    <row r="982" spans="1:2" x14ac:dyDescent="0.25">
      <c r="A982" t="s">
        <v>352</v>
      </c>
      <c r="B982" s="56">
        <v>100000</v>
      </c>
    </row>
    <row r="983" spans="1:2" x14ac:dyDescent="0.25">
      <c r="A983" t="s">
        <v>353</v>
      </c>
      <c r="B983" s="56">
        <v>200000</v>
      </c>
    </row>
    <row r="984" spans="1:2" x14ac:dyDescent="0.25">
      <c r="A984" t="s">
        <v>354</v>
      </c>
      <c r="B984" s="56">
        <v>300000</v>
      </c>
    </row>
    <row r="985" spans="1:2" x14ac:dyDescent="0.25">
      <c r="A985" t="s">
        <v>352</v>
      </c>
      <c r="B985" s="56">
        <v>100000</v>
      </c>
    </row>
    <row r="986" spans="1:2" x14ac:dyDescent="0.25">
      <c r="A986" t="s">
        <v>353</v>
      </c>
      <c r="B986" s="56">
        <v>200000</v>
      </c>
    </row>
    <row r="987" spans="1:2" x14ac:dyDescent="0.25">
      <c r="A987" t="s">
        <v>354</v>
      </c>
      <c r="B987" s="56">
        <v>300000</v>
      </c>
    </row>
    <row r="988" spans="1:2" x14ac:dyDescent="0.25">
      <c r="A988" t="s">
        <v>352</v>
      </c>
      <c r="B988" s="56">
        <v>100000</v>
      </c>
    </row>
    <row r="989" spans="1:2" x14ac:dyDescent="0.25">
      <c r="A989" t="s">
        <v>353</v>
      </c>
      <c r="B989" s="56">
        <v>200000</v>
      </c>
    </row>
    <row r="990" spans="1:2" x14ac:dyDescent="0.25">
      <c r="A990" t="s">
        <v>354</v>
      </c>
      <c r="B990" s="56">
        <v>300000</v>
      </c>
    </row>
    <row r="991" spans="1:2" x14ac:dyDescent="0.25">
      <c r="A991" t="s">
        <v>352</v>
      </c>
      <c r="B991" s="56">
        <v>100000</v>
      </c>
    </row>
    <row r="992" spans="1:2" x14ac:dyDescent="0.25">
      <c r="A992" t="s">
        <v>353</v>
      </c>
      <c r="B992" s="56">
        <v>200000</v>
      </c>
    </row>
    <row r="993" spans="1:2" x14ac:dyDescent="0.25">
      <c r="A993" t="s">
        <v>354</v>
      </c>
      <c r="B993" s="56">
        <v>300000</v>
      </c>
    </row>
    <row r="994" spans="1:2" x14ac:dyDescent="0.25">
      <c r="A994" t="s">
        <v>352</v>
      </c>
      <c r="B994" s="56">
        <v>100000</v>
      </c>
    </row>
    <row r="995" spans="1:2" x14ac:dyDescent="0.25">
      <c r="A995" t="s">
        <v>353</v>
      </c>
      <c r="B995" s="56">
        <v>200000</v>
      </c>
    </row>
    <row r="996" spans="1:2" x14ac:dyDescent="0.25">
      <c r="A996" t="s">
        <v>354</v>
      </c>
      <c r="B996" s="56">
        <v>300000</v>
      </c>
    </row>
    <row r="997" spans="1:2" x14ac:dyDescent="0.25">
      <c r="A997" t="s">
        <v>352</v>
      </c>
      <c r="B997" s="56">
        <v>100000</v>
      </c>
    </row>
    <row r="998" spans="1:2" x14ac:dyDescent="0.25">
      <c r="A998" t="s">
        <v>353</v>
      </c>
      <c r="B998" s="56">
        <v>200000</v>
      </c>
    </row>
    <row r="999" spans="1:2" x14ac:dyDescent="0.25">
      <c r="A999" t="s">
        <v>354</v>
      </c>
      <c r="B999" s="56">
        <v>300000</v>
      </c>
    </row>
    <row r="1000" spans="1:2" x14ac:dyDescent="0.25">
      <c r="A1000" t="s">
        <v>352</v>
      </c>
      <c r="B1000" s="56">
        <v>100000</v>
      </c>
    </row>
    <row r="1001" spans="1:2" x14ac:dyDescent="0.25">
      <c r="A1001" t="s">
        <v>353</v>
      </c>
      <c r="B1001" s="56">
        <v>200000</v>
      </c>
    </row>
    <row r="1002" spans="1:2" x14ac:dyDescent="0.25">
      <c r="A1002" t="s">
        <v>354</v>
      </c>
      <c r="B1002" s="56">
        <v>300000</v>
      </c>
    </row>
    <row r="1003" spans="1:2" x14ac:dyDescent="0.25">
      <c r="A1003" t="s">
        <v>352</v>
      </c>
      <c r="B1003" s="56">
        <v>100000</v>
      </c>
    </row>
    <row r="1004" spans="1:2" x14ac:dyDescent="0.25">
      <c r="A1004" t="s">
        <v>353</v>
      </c>
      <c r="B1004" s="56">
        <v>200000</v>
      </c>
    </row>
    <row r="1005" spans="1:2" x14ac:dyDescent="0.25">
      <c r="A1005" t="s">
        <v>354</v>
      </c>
      <c r="B1005" s="56">
        <v>300000</v>
      </c>
    </row>
    <row r="1006" spans="1:2" x14ac:dyDescent="0.25">
      <c r="A1006" t="s">
        <v>352</v>
      </c>
      <c r="B1006" s="56">
        <v>100000</v>
      </c>
    </row>
    <row r="1007" spans="1:2" x14ac:dyDescent="0.25">
      <c r="A1007" t="s">
        <v>353</v>
      </c>
      <c r="B1007" s="56">
        <v>200000</v>
      </c>
    </row>
    <row r="1008" spans="1:2" x14ac:dyDescent="0.25">
      <c r="A1008" t="s">
        <v>354</v>
      </c>
      <c r="B1008" s="56">
        <v>300000</v>
      </c>
    </row>
    <row r="1009" spans="1:2" x14ac:dyDescent="0.25">
      <c r="A1009" t="s">
        <v>352</v>
      </c>
      <c r="B1009" s="56">
        <v>100000</v>
      </c>
    </row>
    <row r="1010" spans="1:2" x14ac:dyDescent="0.25">
      <c r="A1010" t="s">
        <v>353</v>
      </c>
      <c r="B1010" s="56">
        <v>200000</v>
      </c>
    </row>
    <row r="1011" spans="1:2" x14ac:dyDescent="0.25">
      <c r="A1011" t="s">
        <v>354</v>
      </c>
      <c r="B1011" s="56">
        <v>300000</v>
      </c>
    </row>
    <row r="1012" spans="1:2" x14ac:dyDescent="0.25">
      <c r="A1012" t="s">
        <v>352</v>
      </c>
      <c r="B1012" s="56">
        <v>100000</v>
      </c>
    </row>
    <row r="1013" spans="1:2" x14ac:dyDescent="0.25">
      <c r="A1013" t="s">
        <v>353</v>
      </c>
      <c r="B1013" s="56">
        <v>200000</v>
      </c>
    </row>
    <row r="1014" spans="1:2" x14ac:dyDescent="0.25">
      <c r="A1014" t="s">
        <v>354</v>
      </c>
      <c r="B1014" s="56">
        <v>300000</v>
      </c>
    </row>
    <row r="1015" spans="1:2" x14ac:dyDescent="0.25">
      <c r="A1015" t="s">
        <v>352</v>
      </c>
      <c r="B1015" s="56">
        <v>100000</v>
      </c>
    </row>
    <row r="1016" spans="1:2" x14ac:dyDescent="0.25">
      <c r="A1016" t="s">
        <v>353</v>
      </c>
      <c r="B1016" s="56">
        <v>200000</v>
      </c>
    </row>
    <row r="1017" spans="1:2" x14ac:dyDescent="0.25">
      <c r="A1017" t="s">
        <v>354</v>
      </c>
      <c r="B1017" s="56">
        <v>300000</v>
      </c>
    </row>
    <row r="1018" spans="1:2" x14ac:dyDescent="0.25">
      <c r="A1018" t="s">
        <v>352</v>
      </c>
      <c r="B1018" s="56">
        <v>100000</v>
      </c>
    </row>
    <row r="1019" spans="1:2" x14ac:dyDescent="0.25">
      <c r="A1019" t="s">
        <v>353</v>
      </c>
      <c r="B1019" s="56">
        <v>200000</v>
      </c>
    </row>
    <row r="1020" spans="1:2" x14ac:dyDescent="0.25">
      <c r="A1020" t="s">
        <v>354</v>
      </c>
      <c r="B1020" s="56">
        <v>300000</v>
      </c>
    </row>
    <row r="1021" spans="1:2" x14ac:dyDescent="0.25">
      <c r="A1021" t="s">
        <v>352</v>
      </c>
      <c r="B1021" s="56">
        <v>100000</v>
      </c>
    </row>
    <row r="1022" spans="1:2" x14ac:dyDescent="0.25">
      <c r="A1022" t="s">
        <v>353</v>
      </c>
      <c r="B1022" s="56">
        <v>200000</v>
      </c>
    </row>
    <row r="1023" spans="1:2" x14ac:dyDescent="0.25">
      <c r="A1023" t="s">
        <v>354</v>
      </c>
      <c r="B1023" s="56">
        <v>300000</v>
      </c>
    </row>
    <row r="1024" spans="1:2" x14ac:dyDescent="0.25">
      <c r="A1024" t="s">
        <v>352</v>
      </c>
      <c r="B1024" s="56">
        <v>100000</v>
      </c>
    </row>
    <row r="1025" spans="1:2" x14ac:dyDescent="0.25">
      <c r="A1025" t="s">
        <v>353</v>
      </c>
      <c r="B1025" s="56">
        <v>200000</v>
      </c>
    </row>
    <row r="1026" spans="1:2" x14ac:dyDescent="0.25">
      <c r="A1026" t="s">
        <v>354</v>
      </c>
      <c r="B1026" s="56">
        <v>300000</v>
      </c>
    </row>
    <row r="1027" spans="1:2" x14ac:dyDescent="0.25">
      <c r="A1027" t="s">
        <v>352</v>
      </c>
      <c r="B1027" s="56">
        <v>100000</v>
      </c>
    </row>
    <row r="1028" spans="1:2" x14ac:dyDescent="0.25">
      <c r="A1028" t="s">
        <v>353</v>
      </c>
      <c r="B1028" s="56">
        <v>200000</v>
      </c>
    </row>
    <row r="1029" spans="1:2" x14ac:dyDescent="0.25">
      <c r="A1029" t="s">
        <v>354</v>
      </c>
      <c r="B1029" s="56">
        <v>300000</v>
      </c>
    </row>
    <row r="1030" spans="1:2" x14ac:dyDescent="0.25">
      <c r="A1030" t="s">
        <v>352</v>
      </c>
      <c r="B1030" s="56">
        <v>100000</v>
      </c>
    </row>
    <row r="1031" spans="1:2" x14ac:dyDescent="0.25">
      <c r="A1031" t="s">
        <v>353</v>
      </c>
      <c r="B1031" s="56">
        <v>200000</v>
      </c>
    </row>
    <row r="1032" spans="1:2" x14ac:dyDescent="0.25">
      <c r="A1032" t="s">
        <v>354</v>
      </c>
      <c r="B1032" s="56">
        <v>300000</v>
      </c>
    </row>
    <row r="1033" spans="1:2" x14ac:dyDescent="0.25">
      <c r="A1033" t="s">
        <v>352</v>
      </c>
      <c r="B1033" s="56">
        <v>100000</v>
      </c>
    </row>
    <row r="1034" spans="1:2" x14ac:dyDescent="0.25">
      <c r="A1034" t="s">
        <v>353</v>
      </c>
      <c r="B1034" s="56">
        <v>200000</v>
      </c>
    </row>
    <row r="1035" spans="1:2" x14ac:dyDescent="0.25">
      <c r="A1035" t="s">
        <v>354</v>
      </c>
      <c r="B1035" s="56">
        <v>300000</v>
      </c>
    </row>
    <row r="1036" spans="1:2" x14ac:dyDescent="0.25">
      <c r="A1036" t="s">
        <v>352</v>
      </c>
      <c r="B1036" s="56">
        <v>100000</v>
      </c>
    </row>
    <row r="1037" spans="1:2" x14ac:dyDescent="0.25">
      <c r="A1037" t="s">
        <v>353</v>
      </c>
      <c r="B1037" s="56">
        <v>200000</v>
      </c>
    </row>
    <row r="1038" spans="1:2" x14ac:dyDescent="0.25">
      <c r="A1038" t="s">
        <v>354</v>
      </c>
      <c r="B1038" s="56">
        <v>300000</v>
      </c>
    </row>
    <row r="1039" spans="1:2" x14ac:dyDescent="0.25">
      <c r="A1039" t="s">
        <v>352</v>
      </c>
      <c r="B1039" s="56">
        <v>100000</v>
      </c>
    </row>
    <row r="1040" spans="1:2" x14ac:dyDescent="0.25">
      <c r="A1040" t="s">
        <v>353</v>
      </c>
      <c r="B1040" s="56">
        <v>200000</v>
      </c>
    </row>
    <row r="1041" spans="1:2" x14ac:dyDescent="0.25">
      <c r="A1041" t="s">
        <v>354</v>
      </c>
      <c r="B1041" s="56">
        <v>300000</v>
      </c>
    </row>
    <row r="1042" spans="1:2" x14ac:dyDescent="0.25">
      <c r="A1042" t="s">
        <v>352</v>
      </c>
      <c r="B1042" s="56">
        <v>100000</v>
      </c>
    </row>
    <row r="1043" spans="1:2" x14ac:dyDescent="0.25">
      <c r="A1043" t="s">
        <v>353</v>
      </c>
      <c r="B1043" s="56">
        <v>200000</v>
      </c>
    </row>
    <row r="1044" spans="1:2" x14ac:dyDescent="0.25">
      <c r="A1044" t="s">
        <v>354</v>
      </c>
      <c r="B1044" s="56">
        <v>300000</v>
      </c>
    </row>
    <row r="1045" spans="1:2" x14ac:dyDescent="0.25">
      <c r="A1045" t="s">
        <v>352</v>
      </c>
      <c r="B1045" s="56">
        <v>100000</v>
      </c>
    </row>
    <row r="1046" spans="1:2" x14ac:dyDescent="0.25">
      <c r="A1046" t="s">
        <v>353</v>
      </c>
      <c r="B1046" s="56">
        <v>200000</v>
      </c>
    </row>
    <row r="1047" spans="1:2" x14ac:dyDescent="0.25">
      <c r="A1047" t="s">
        <v>354</v>
      </c>
      <c r="B1047" s="56">
        <v>300000</v>
      </c>
    </row>
    <row r="1048" spans="1:2" x14ac:dyDescent="0.25">
      <c r="A1048" t="s">
        <v>352</v>
      </c>
      <c r="B1048" s="56">
        <v>100000</v>
      </c>
    </row>
    <row r="1049" spans="1:2" x14ac:dyDescent="0.25">
      <c r="A1049" t="s">
        <v>353</v>
      </c>
      <c r="B1049" s="56">
        <v>200000</v>
      </c>
    </row>
    <row r="1050" spans="1:2" x14ac:dyDescent="0.25">
      <c r="A1050" t="s">
        <v>354</v>
      </c>
      <c r="B1050" s="56">
        <v>300000</v>
      </c>
    </row>
    <row r="1051" spans="1:2" x14ac:dyDescent="0.25">
      <c r="A1051" t="s">
        <v>352</v>
      </c>
      <c r="B1051" s="56">
        <v>100000</v>
      </c>
    </row>
    <row r="1052" spans="1:2" x14ac:dyDescent="0.25">
      <c r="A1052" t="s">
        <v>353</v>
      </c>
      <c r="B1052" s="56">
        <v>200000</v>
      </c>
    </row>
    <row r="1053" spans="1:2" x14ac:dyDescent="0.25">
      <c r="A1053" t="s">
        <v>354</v>
      </c>
      <c r="B1053" s="56">
        <v>300000</v>
      </c>
    </row>
    <row r="1054" spans="1:2" x14ac:dyDescent="0.25">
      <c r="A1054" t="s">
        <v>352</v>
      </c>
      <c r="B1054" s="56">
        <v>100000</v>
      </c>
    </row>
    <row r="1055" spans="1:2" x14ac:dyDescent="0.25">
      <c r="A1055" t="s">
        <v>353</v>
      </c>
      <c r="B1055" s="56">
        <v>200000</v>
      </c>
    </row>
    <row r="1056" spans="1:2" x14ac:dyDescent="0.25">
      <c r="A1056" t="s">
        <v>354</v>
      </c>
      <c r="B1056" s="56">
        <v>300000</v>
      </c>
    </row>
    <row r="1057" spans="1:2" x14ac:dyDescent="0.25">
      <c r="A1057" t="s">
        <v>352</v>
      </c>
      <c r="B1057" s="56">
        <v>100000</v>
      </c>
    </row>
    <row r="1058" spans="1:2" x14ac:dyDescent="0.25">
      <c r="A1058" t="s">
        <v>353</v>
      </c>
      <c r="B1058" s="56">
        <v>200000</v>
      </c>
    </row>
    <row r="1059" spans="1:2" x14ac:dyDescent="0.25">
      <c r="A1059" t="s">
        <v>354</v>
      </c>
      <c r="B1059" s="56">
        <v>300000</v>
      </c>
    </row>
    <row r="1060" spans="1:2" x14ac:dyDescent="0.25">
      <c r="A1060" t="s">
        <v>352</v>
      </c>
      <c r="B1060" s="56">
        <v>100000</v>
      </c>
    </row>
    <row r="1061" spans="1:2" x14ac:dyDescent="0.25">
      <c r="A1061" t="s">
        <v>353</v>
      </c>
      <c r="B1061" s="56">
        <v>200000</v>
      </c>
    </row>
    <row r="1062" spans="1:2" x14ac:dyDescent="0.25">
      <c r="A1062" t="s">
        <v>354</v>
      </c>
      <c r="B1062" s="56">
        <v>300000</v>
      </c>
    </row>
    <row r="1063" spans="1:2" x14ac:dyDescent="0.25">
      <c r="A1063" t="s">
        <v>352</v>
      </c>
      <c r="B1063" s="56">
        <v>100000</v>
      </c>
    </row>
    <row r="1064" spans="1:2" x14ac:dyDescent="0.25">
      <c r="A1064" t="s">
        <v>353</v>
      </c>
      <c r="B1064" s="56">
        <v>200000</v>
      </c>
    </row>
    <row r="1065" spans="1:2" x14ac:dyDescent="0.25">
      <c r="A1065" t="s">
        <v>354</v>
      </c>
      <c r="B1065" s="56">
        <v>300000</v>
      </c>
    </row>
    <row r="1066" spans="1:2" x14ac:dyDescent="0.25">
      <c r="A1066" t="s">
        <v>352</v>
      </c>
      <c r="B1066" s="56">
        <v>100000</v>
      </c>
    </row>
    <row r="1067" spans="1:2" x14ac:dyDescent="0.25">
      <c r="A1067" t="s">
        <v>353</v>
      </c>
      <c r="B1067" s="56">
        <v>200000</v>
      </c>
    </row>
    <row r="1068" spans="1:2" x14ac:dyDescent="0.25">
      <c r="A1068" t="s">
        <v>354</v>
      </c>
      <c r="B1068" s="56">
        <v>300000</v>
      </c>
    </row>
    <row r="1069" spans="1:2" x14ac:dyDescent="0.25">
      <c r="A1069" t="s">
        <v>352</v>
      </c>
      <c r="B1069" s="56">
        <v>100000</v>
      </c>
    </row>
    <row r="1070" spans="1:2" x14ac:dyDescent="0.25">
      <c r="A1070" t="s">
        <v>353</v>
      </c>
      <c r="B1070" s="56">
        <v>200000</v>
      </c>
    </row>
    <row r="1071" spans="1:2" x14ac:dyDescent="0.25">
      <c r="A1071" t="s">
        <v>354</v>
      </c>
      <c r="B1071" s="56">
        <v>300000</v>
      </c>
    </row>
    <row r="1072" spans="1:2" x14ac:dyDescent="0.25">
      <c r="A1072" t="s">
        <v>352</v>
      </c>
      <c r="B1072" s="56">
        <v>100000</v>
      </c>
    </row>
    <row r="1073" spans="1:2" x14ac:dyDescent="0.25">
      <c r="A1073" t="s">
        <v>353</v>
      </c>
      <c r="B1073" s="56">
        <v>200000</v>
      </c>
    </row>
    <row r="1074" spans="1:2" x14ac:dyDescent="0.25">
      <c r="A1074" t="s">
        <v>354</v>
      </c>
      <c r="B1074" s="56">
        <v>300000</v>
      </c>
    </row>
    <row r="1075" spans="1:2" x14ac:dyDescent="0.25">
      <c r="A1075" t="s">
        <v>352</v>
      </c>
      <c r="B1075" s="56">
        <v>100000</v>
      </c>
    </row>
    <row r="1076" spans="1:2" x14ac:dyDescent="0.25">
      <c r="A1076" t="s">
        <v>353</v>
      </c>
      <c r="B1076" s="56">
        <v>200000</v>
      </c>
    </row>
    <row r="1077" spans="1:2" x14ac:dyDescent="0.25">
      <c r="A1077" t="s">
        <v>354</v>
      </c>
      <c r="B1077" s="56">
        <v>300000</v>
      </c>
    </row>
    <row r="1078" spans="1:2" x14ac:dyDescent="0.25">
      <c r="A1078" t="s">
        <v>352</v>
      </c>
      <c r="B1078" s="56">
        <v>100000</v>
      </c>
    </row>
    <row r="1079" spans="1:2" x14ac:dyDescent="0.25">
      <c r="A1079" t="s">
        <v>353</v>
      </c>
      <c r="B1079" s="56">
        <v>200000</v>
      </c>
    </row>
    <row r="1080" spans="1:2" x14ac:dyDescent="0.25">
      <c r="A1080" t="s">
        <v>354</v>
      </c>
      <c r="B1080" s="56">
        <v>300000</v>
      </c>
    </row>
    <row r="1081" spans="1:2" x14ac:dyDescent="0.25">
      <c r="A1081" t="s">
        <v>352</v>
      </c>
      <c r="B1081" s="56">
        <v>100000</v>
      </c>
    </row>
    <row r="1082" spans="1:2" x14ac:dyDescent="0.25">
      <c r="A1082" t="s">
        <v>353</v>
      </c>
      <c r="B1082" s="56">
        <v>200000</v>
      </c>
    </row>
    <row r="1083" spans="1:2" x14ac:dyDescent="0.25">
      <c r="A1083" t="s">
        <v>354</v>
      </c>
      <c r="B1083" s="56">
        <v>300000</v>
      </c>
    </row>
    <row r="1084" spans="1:2" x14ac:dyDescent="0.25">
      <c r="A1084" t="s">
        <v>352</v>
      </c>
      <c r="B1084" s="56">
        <v>100000</v>
      </c>
    </row>
    <row r="1085" spans="1:2" x14ac:dyDescent="0.25">
      <c r="A1085" t="s">
        <v>353</v>
      </c>
      <c r="B1085" s="56">
        <v>200000</v>
      </c>
    </row>
    <row r="1086" spans="1:2" x14ac:dyDescent="0.25">
      <c r="A1086" t="s">
        <v>354</v>
      </c>
      <c r="B1086" s="56">
        <v>300000</v>
      </c>
    </row>
    <row r="1087" spans="1:2" x14ac:dyDescent="0.25">
      <c r="A1087" t="s">
        <v>352</v>
      </c>
      <c r="B1087" s="56">
        <v>100000</v>
      </c>
    </row>
    <row r="1088" spans="1:2" x14ac:dyDescent="0.25">
      <c r="A1088" t="s">
        <v>353</v>
      </c>
      <c r="B1088" s="56">
        <v>200000</v>
      </c>
    </row>
    <row r="1089" spans="1:2" x14ac:dyDescent="0.25">
      <c r="A1089" t="s">
        <v>354</v>
      </c>
      <c r="B1089" s="56">
        <v>300000</v>
      </c>
    </row>
    <row r="1090" spans="1:2" x14ac:dyDescent="0.25">
      <c r="A1090" t="s">
        <v>352</v>
      </c>
      <c r="B1090" s="56">
        <v>100000</v>
      </c>
    </row>
    <row r="1091" spans="1:2" x14ac:dyDescent="0.25">
      <c r="A1091" t="s">
        <v>353</v>
      </c>
      <c r="B1091" s="56">
        <v>200000</v>
      </c>
    </row>
    <row r="1092" spans="1:2" x14ac:dyDescent="0.25">
      <c r="A1092" t="s">
        <v>354</v>
      </c>
      <c r="B1092" s="56">
        <v>300000</v>
      </c>
    </row>
    <row r="1093" spans="1:2" x14ac:dyDescent="0.25">
      <c r="A1093" t="s">
        <v>352</v>
      </c>
      <c r="B1093" s="56">
        <v>100000</v>
      </c>
    </row>
    <row r="1094" spans="1:2" x14ac:dyDescent="0.25">
      <c r="A1094" t="s">
        <v>353</v>
      </c>
      <c r="B1094" s="56">
        <v>200000</v>
      </c>
    </row>
    <row r="1095" spans="1:2" x14ac:dyDescent="0.25">
      <c r="A1095" t="s">
        <v>354</v>
      </c>
      <c r="B1095" s="56">
        <v>300000</v>
      </c>
    </row>
    <row r="1096" spans="1:2" x14ac:dyDescent="0.25">
      <c r="A1096" t="s">
        <v>352</v>
      </c>
      <c r="B1096" s="56">
        <v>100000</v>
      </c>
    </row>
    <row r="1097" spans="1:2" x14ac:dyDescent="0.25">
      <c r="A1097" t="s">
        <v>353</v>
      </c>
      <c r="B1097" s="56">
        <v>200000</v>
      </c>
    </row>
    <row r="1098" spans="1:2" x14ac:dyDescent="0.25">
      <c r="A1098" t="s">
        <v>354</v>
      </c>
      <c r="B1098" s="56">
        <v>300000</v>
      </c>
    </row>
    <row r="1099" spans="1:2" x14ac:dyDescent="0.25">
      <c r="A1099" t="s">
        <v>352</v>
      </c>
      <c r="B1099" s="56">
        <v>100000</v>
      </c>
    </row>
    <row r="1100" spans="1:2" x14ac:dyDescent="0.25">
      <c r="A1100" t="s">
        <v>353</v>
      </c>
      <c r="B1100" s="56">
        <v>200000</v>
      </c>
    </row>
    <row r="1101" spans="1:2" x14ac:dyDescent="0.25">
      <c r="A1101" t="s">
        <v>354</v>
      </c>
      <c r="B1101" s="56">
        <v>300000</v>
      </c>
    </row>
    <row r="1102" spans="1:2" x14ac:dyDescent="0.25">
      <c r="A1102" t="s">
        <v>352</v>
      </c>
      <c r="B1102" s="56">
        <v>100000</v>
      </c>
    </row>
    <row r="1103" spans="1:2" x14ac:dyDescent="0.25">
      <c r="A1103" t="s">
        <v>353</v>
      </c>
      <c r="B1103" s="56">
        <v>200000</v>
      </c>
    </row>
    <row r="1104" spans="1:2" x14ac:dyDescent="0.25">
      <c r="A1104" t="s">
        <v>354</v>
      </c>
      <c r="B1104" s="56">
        <v>300000</v>
      </c>
    </row>
    <row r="1105" spans="1:2" x14ac:dyDescent="0.25">
      <c r="A1105" t="s">
        <v>352</v>
      </c>
      <c r="B1105" s="56">
        <v>100000</v>
      </c>
    </row>
    <row r="1106" spans="1:2" x14ac:dyDescent="0.25">
      <c r="A1106" t="s">
        <v>353</v>
      </c>
      <c r="B1106" s="56">
        <v>200000</v>
      </c>
    </row>
    <row r="1107" spans="1:2" x14ac:dyDescent="0.25">
      <c r="A1107" t="s">
        <v>354</v>
      </c>
      <c r="B1107" s="56">
        <v>300000</v>
      </c>
    </row>
    <row r="1108" spans="1:2" x14ac:dyDescent="0.25">
      <c r="A1108" t="s">
        <v>352</v>
      </c>
      <c r="B1108" s="56">
        <v>100000</v>
      </c>
    </row>
    <row r="1109" spans="1:2" x14ac:dyDescent="0.25">
      <c r="A1109" t="s">
        <v>353</v>
      </c>
      <c r="B1109" s="56">
        <v>200000</v>
      </c>
    </row>
    <row r="1110" spans="1:2" x14ac:dyDescent="0.25">
      <c r="A1110" t="s">
        <v>354</v>
      </c>
      <c r="B1110" s="56">
        <v>300000</v>
      </c>
    </row>
    <row r="1111" spans="1:2" x14ac:dyDescent="0.25">
      <c r="A1111" t="s">
        <v>352</v>
      </c>
      <c r="B1111" s="56">
        <v>100000</v>
      </c>
    </row>
    <row r="1112" spans="1:2" x14ac:dyDescent="0.25">
      <c r="A1112" t="s">
        <v>353</v>
      </c>
      <c r="B1112" s="56">
        <v>200000</v>
      </c>
    </row>
    <row r="1113" spans="1:2" x14ac:dyDescent="0.25">
      <c r="A1113" t="s">
        <v>354</v>
      </c>
      <c r="B1113" s="56">
        <v>300000</v>
      </c>
    </row>
    <row r="1114" spans="1:2" x14ac:dyDescent="0.25">
      <c r="A1114" t="s">
        <v>352</v>
      </c>
      <c r="B1114" s="56">
        <v>100000</v>
      </c>
    </row>
    <row r="1115" spans="1:2" x14ac:dyDescent="0.25">
      <c r="A1115" t="s">
        <v>353</v>
      </c>
      <c r="B1115" s="56">
        <v>200000</v>
      </c>
    </row>
    <row r="1116" spans="1:2" x14ac:dyDescent="0.25">
      <c r="A1116" t="s">
        <v>354</v>
      </c>
      <c r="B1116" s="56">
        <v>300000</v>
      </c>
    </row>
    <row r="1117" spans="1:2" x14ac:dyDescent="0.25">
      <c r="A1117" t="s">
        <v>352</v>
      </c>
      <c r="B1117" s="56">
        <v>100000</v>
      </c>
    </row>
    <row r="1118" spans="1:2" x14ac:dyDescent="0.25">
      <c r="A1118" t="s">
        <v>353</v>
      </c>
      <c r="B1118" s="56">
        <v>200000</v>
      </c>
    </row>
    <row r="1119" spans="1:2" x14ac:dyDescent="0.25">
      <c r="A1119" t="s">
        <v>354</v>
      </c>
      <c r="B1119" s="56">
        <v>300000</v>
      </c>
    </row>
    <row r="1120" spans="1:2" x14ac:dyDescent="0.25">
      <c r="A1120" t="s">
        <v>352</v>
      </c>
      <c r="B1120" s="56">
        <v>100000</v>
      </c>
    </row>
    <row r="1121" spans="1:2" x14ac:dyDescent="0.25">
      <c r="A1121" t="s">
        <v>353</v>
      </c>
      <c r="B1121" s="56">
        <v>200000</v>
      </c>
    </row>
    <row r="1122" spans="1:2" x14ac:dyDescent="0.25">
      <c r="A1122" t="s">
        <v>354</v>
      </c>
      <c r="B1122" s="56">
        <v>300000</v>
      </c>
    </row>
    <row r="1123" spans="1:2" x14ac:dyDescent="0.25">
      <c r="A1123" t="s">
        <v>352</v>
      </c>
      <c r="B1123" s="56">
        <v>100000</v>
      </c>
    </row>
    <row r="1124" spans="1:2" x14ac:dyDescent="0.25">
      <c r="A1124" t="s">
        <v>353</v>
      </c>
      <c r="B1124" s="56">
        <v>200000</v>
      </c>
    </row>
    <row r="1125" spans="1:2" x14ac:dyDescent="0.25">
      <c r="A1125" t="s">
        <v>354</v>
      </c>
      <c r="B1125" s="56">
        <v>300000</v>
      </c>
    </row>
    <row r="1126" spans="1:2" x14ac:dyDescent="0.25">
      <c r="A1126" t="s">
        <v>352</v>
      </c>
      <c r="B1126" s="56">
        <v>100000</v>
      </c>
    </row>
    <row r="1127" spans="1:2" x14ac:dyDescent="0.25">
      <c r="A1127" t="s">
        <v>353</v>
      </c>
      <c r="B1127" s="56">
        <v>200000</v>
      </c>
    </row>
    <row r="1128" spans="1:2" x14ac:dyDescent="0.25">
      <c r="A1128" t="s">
        <v>354</v>
      </c>
      <c r="B1128" s="56">
        <v>300000</v>
      </c>
    </row>
    <row r="1129" spans="1:2" x14ac:dyDescent="0.25">
      <c r="A1129" t="s">
        <v>352</v>
      </c>
      <c r="B1129" s="56">
        <v>100000</v>
      </c>
    </row>
    <row r="1130" spans="1:2" x14ac:dyDescent="0.25">
      <c r="A1130" t="s">
        <v>353</v>
      </c>
      <c r="B1130" s="56">
        <v>200000</v>
      </c>
    </row>
    <row r="1131" spans="1:2" x14ac:dyDescent="0.25">
      <c r="A1131" t="s">
        <v>354</v>
      </c>
      <c r="B1131" s="56">
        <v>300000</v>
      </c>
    </row>
    <row r="1132" spans="1:2" x14ac:dyDescent="0.25">
      <c r="A1132" t="s">
        <v>352</v>
      </c>
      <c r="B1132" s="56">
        <v>100000</v>
      </c>
    </row>
    <row r="1133" spans="1:2" x14ac:dyDescent="0.25">
      <c r="A1133" t="s">
        <v>353</v>
      </c>
      <c r="B1133" s="56">
        <v>200000</v>
      </c>
    </row>
    <row r="1134" spans="1:2" x14ac:dyDescent="0.25">
      <c r="A1134" t="s">
        <v>354</v>
      </c>
      <c r="B1134" s="56">
        <v>300000</v>
      </c>
    </row>
    <row r="1135" spans="1:2" x14ac:dyDescent="0.25">
      <c r="A1135" t="s">
        <v>352</v>
      </c>
      <c r="B1135" s="56">
        <v>100000</v>
      </c>
    </row>
    <row r="1136" spans="1:2" x14ac:dyDescent="0.25">
      <c r="A1136" t="s">
        <v>353</v>
      </c>
      <c r="B1136" s="56">
        <v>200000</v>
      </c>
    </row>
    <row r="1137" spans="1:2" x14ac:dyDescent="0.25">
      <c r="A1137" t="s">
        <v>354</v>
      </c>
      <c r="B1137" s="56">
        <v>300000</v>
      </c>
    </row>
    <row r="1138" spans="1:2" x14ac:dyDescent="0.25">
      <c r="A1138" t="s">
        <v>352</v>
      </c>
      <c r="B1138" s="56">
        <v>100000</v>
      </c>
    </row>
    <row r="1139" spans="1:2" x14ac:dyDescent="0.25">
      <c r="A1139" t="s">
        <v>353</v>
      </c>
      <c r="B1139" s="56">
        <v>200000</v>
      </c>
    </row>
    <row r="1140" spans="1:2" x14ac:dyDescent="0.25">
      <c r="A1140" t="s">
        <v>354</v>
      </c>
      <c r="B1140" s="56">
        <v>300000</v>
      </c>
    </row>
    <row r="1141" spans="1:2" x14ac:dyDescent="0.25">
      <c r="A1141" t="s">
        <v>352</v>
      </c>
      <c r="B1141" s="56">
        <v>100000</v>
      </c>
    </row>
    <row r="1142" spans="1:2" x14ac:dyDescent="0.25">
      <c r="A1142" t="s">
        <v>353</v>
      </c>
      <c r="B1142" s="56">
        <v>200000</v>
      </c>
    </row>
    <row r="1143" spans="1:2" x14ac:dyDescent="0.25">
      <c r="A1143" t="s">
        <v>354</v>
      </c>
      <c r="B1143" s="56">
        <v>300000</v>
      </c>
    </row>
    <row r="1144" spans="1:2" x14ac:dyDescent="0.25">
      <c r="A1144" t="s">
        <v>352</v>
      </c>
      <c r="B1144" s="56">
        <v>100000</v>
      </c>
    </row>
    <row r="1145" spans="1:2" x14ac:dyDescent="0.25">
      <c r="A1145" t="s">
        <v>353</v>
      </c>
      <c r="B1145" s="56">
        <v>200000</v>
      </c>
    </row>
    <row r="1146" spans="1:2" x14ac:dyDescent="0.25">
      <c r="A1146" t="s">
        <v>354</v>
      </c>
      <c r="B1146" s="56">
        <v>300000</v>
      </c>
    </row>
    <row r="1147" spans="1:2" x14ac:dyDescent="0.25">
      <c r="A1147" t="s">
        <v>352</v>
      </c>
      <c r="B1147" s="56">
        <v>100000</v>
      </c>
    </row>
    <row r="1148" spans="1:2" x14ac:dyDescent="0.25">
      <c r="A1148" t="s">
        <v>353</v>
      </c>
      <c r="B1148" s="56">
        <v>200000</v>
      </c>
    </row>
    <row r="1149" spans="1:2" x14ac:dyDescent="0.25">
      <c r="A1149" t="s">
        <v>354</v>
      </c>
      <c r="B1149" s="56">
        <v>300000</v>
      </c>
    </row>
    <row r="1150" spans="1:2" x14ac:dyDescent="0.25">
      <c r="A1150" t="s">
        <v>352</v>
      </c>
      <c r="B1150" s="56">
        <v>100000</v>
      </c>
    </row>
    <row r="1151" spans="1:2" x14ac:dyDescent="0.25">
      <c r="A1151" t="s">
        <v>353</v>
      </c>
      <c r="B1151" s="56">
        <v>200000</v>
      </c>
    </row>
    <row r="1152" spans="1:2" x14ac:dyDescent="0.25">
      <c r="A1152" t="s">
        <v>354</v>
      </c>
      <c r="B1152" s="56">
        <v>300000</v>
      </c>
    </row>
    <row r="1153" spans="1:2" x14ac:dyDescent="0.25">
      <c r="A1153" t="s">
        <v>352</v>
      </c>
      <c r="B1153" s="56">
        <v>100000</v>
      </c>
    </row>
    <row r="1154" spans="1:2" x14ac:dyDescent="0.25">
      <c r="A1154" t="s">
        <v>353</v>
      </c>
      <c r="B1154" s="56">
        <v>200000</v>
      </c>
    </row>
    <row r="1155" spans="1:2" x14ac:dyDescent="0.25">
      <c r="A1155" t="s">
        <v>354</v>
      </c>
      <c r="B1155" s="56">
        <v>300000</v>
      </c>
    </row>
    <row r="1156" spans="1:2" x14ac:dyDescent="0.25">
      <c r="A1156" t="s">
        <v>352</v>
      </c>
      <c r="B1156" s="56">
        <v>100000</v>
      </c>
    </row>
    <row r="1157" spans="1:2" x14ac:dyDescent="0.25">
      <c r="A1157" t="s">
        <v>353</v>
      </c>
      <c r="B1157" s="56">
        <v>200000</v>
      </c>
    </row>
    <row r="1158" spans="1:2" x14ac:dyDescent="0.25">
      <c r="A1158" t="s">
        <v>354</v>
      </c>
      <c r="B1158" s="56">
        <v>300000</v>
      </c>
    </row>
    <row r="1159" spans="1:2" x14ac:dyDescent="0.25">
      <c r="A1159" t="s">
        <v>352</v>
      </c>
      <c r="B1159" s="56">
        <v>100000</v>
      </c>
    </row>
    <row r="1160" spans="1:2" x14ac:dyDescent="0.25">
      <c r="A1160" t="s">
        <v>353</v>
      </c>
      <c r="B1160" s="56">
        <v>200000</v>
      </c>
    </row>
    <row r="1161" spans="1:2" x14ac:dyDescent="0.25">
      <c r="A1161" t="s">
        <v>354</v>
      </c>
      <c r="B1161" s="56">
        <v>300000</v>
      </c>
    </row>
    <row r="1162" spans="1:2" x14ac:dyDescent="0.25">
      <c r="A1162" t="s">
        <v>352</v>
      </c>
      <c r="B1162" s="56">
        <v>100000</v>
      </c>
    </row>
    <row r="1163" spans="1:2" x14ac:dyDescent="0.25">
      <c r="A1163" t="s">
        <v>353</v>
      </c>
      <c r="B1163" s="56">
        <v>200000</v>
      </c>
    </row>
    <row r="1164" spans="1:2" x14ac:dyDescent="0.25">
      <c r="A1164" t="s">
        <v>354</v>
      </c>
      <c r="B1164" s="56">
        <v>300000</v>
      </c>
    </row>
    <row r="1165" spans="1:2" x14ac:dyDescent="0.25">
      <c r="A1165" t="s">
        <v>352</v>
      </c>
      <c r="B1165" s="56">
        <v>100000</v>
      </c>
    </row>
    <row r="1166" spans="1:2" x14ac:dyDescent="0.25">
      <c r="A1166" t="s">
        <v>353</v>
      </c>
      <c r="B1166" s="56">
        <v>200000</v>
      </c>
    </row>
    <row r="1167" spans="1:2" x14ac:dyDescent="0.25">
      <c r="A1167" t="s">
        <v>354</v>
      </c>
      <c r="B1167" s="56">
        <v>300000</v>
      </c>
    </row>
    <row r="1168" spans="1:2" x14ac:dyDescent="0.25">
      <c r="A1168" t="s">
        <v>352</v>
      </c>
      <c r="B1168" s="56">
        <v>100000</v>
      </c>
    </row>
    <row r="1169" spans="1:2" x14ac:dyDescent="0.25">
      <c r="A1169" t="s">
        <v>353</v>
      </c>
      <c r="B1169" s="56">
        <v>200000</v>
      </c>
    </row>
    <row r="1170" spans="1:2" x14ac:dyDescent="0.25">
      <c r="A1170" t="s">
        <v>354</v>
      </c>
      <c r="B1170" s="56">
        <v>300000</v>
      </c>
    </row>
    <row r="1171" spans="1:2" x14ac:dyDescent="0.25">
      <c r="A1171" t="s">
        <v>352</v>
      </c>
      <c r="B1171" s="56">
        <v>100000</v>
      </c>
    </row>
    <row r="1172" spans="1:2" x14ac:dyDescent="0.25">
      <c r="A1172" t="s">
        <v>353</v>
      </c>
      <c r="B1172" s="56">
        <v>200000</v>
      </c>
    </row>
    <row r="1173" spans="1:2" x14ac:dyDescent="0.25">
      <c r="A1173" t="s">
        <v>354</v>
      </c>
      <c r="B1173" s="56">
        <v>300000</v>
      </c>
    </row>
    <row r="1174" spans="1:2" x14ac:dyDescent="0.25">
      <c r="A1174" t="s">
        <v>352</v>
      </c>
      <c r="B1174" s="56">
        <v>100000</v>
      </c>
    </row>
    <row r="1175" spans="1:2" x14ac:dyDescent="0.25">
      <c r="A1175" t="s">
        <v>353</v>
      </c>
      <c r="B1175" s="56">
        <v>200000</v>
      </c>
    </row>
    <row r="1176" spans="1:2" x14ac:dyDescent="0.25">
      <c r="A1176" t="s">
        <v>354</v>
      </c>
      <c r="B1176" s="56">
        <v>300000</v>
      </c>
    </row>
    <row r="1177" spans="1:2" x14ac:dyDescent="0.25">
      <c r="A1177" t="s">
        <v>352</v>
      </c>
      <c r="B1177" s="56">
        <v>100000</v>
      </c>
    </row>
    <row r="1178" spans="1:2" x14ac:dyDescent="0.25">
      <c r="A1178" t="s">
        <v>353</v>
      </c>
      <c r="B1178" s="56">
        <v>200000</v>
      </c>
    </row>
    <row r="1179" spans="1:2" x14ac:dyDescent="0.25">
      <c r="A1179" t="s">
        <v>354</v>
      </c>
      <c r="B1179" s="56">
        <v>300000</v>
      </c>
    </row>
    <row r="1180" spans="1:2" x14ac:dyDescent="0.25">
      <c r="A1180" t="s">
        <v>352</v>
      </c>
      <c r="B1180" s="56">
        <v>100000</v>
      </c>
    </row>
    <row r="1181" spans="1:2" x14ac:dyDescent="0.25">
      <c r="A1181" t="s">
        <v>353</v>
      </c>
      <c r="B1181" s="56">
        <v>200000</v>
      </c>
    </row>
    <row r="1182" spans="1:2" x14ac:dyDescent="0.25">
      <c r="A1182" t="s">
        <v>354</v>
      </c>
      <c r="B1182" s="56">
        <v>300000</v>
      </c>
    </row>
    <row r="1183" spans="1:2" x14ac:dyDescent="0.25">
      <c r="A1183" t="s">
        <v>352</v>
      </c>
      <c r="B1183" s="56">
        <v>100000</v>
      </c>
    </row>
    <row r="1184" spans="1:2" x14ac:dyDescent="0.25">
      <c r="A1184" t="s">
        <v>353</v>
      </c>
      <c r="B1184" s="56">
        <v>200000</v>
      </c>
    </row>
    <row r="1185" spans="1:2" x14ac:dyDescent="0.25">
      <c r="A1185" t="s">
        <v>354</v>
      </c>
      <c r="B1185" s="56">
        <v>300000</v>
      </c>
    </row>
    <row r="1186" spans="1:2" x14ac:dyDescent="0.25">
      <c r="A1186" t="s">
        <v>352</v>
      </c>
      <c r="B1186" s="56">
        <v>100000</v>
      </c>
    </row>
    <row r="1187" spans="1:2" x14ac:dyDescent="0.25">
      <c r="A1187" t="s">
        <v>353</v>
      </c>
      <c r="B1187" s="56">
        <v>200000</v>
      </c>
    </row>
    <row r="1188" spans="1:2" x14ac:dyDescent="0.25">
      <c r="A1188" t="s">
        <v>354</v>
      </c>
      <c r="B1188" s="56">
        <v>300000</v>
      </c>
    </row>
    <row r="1189" spans="1:2" x14ac:dyDescent="0.25">
      <c r="A1189" t="s">
        <v>352</v>
      </c>
      <c r="B1189" s="56">
        <v>100000</v>
      </c>
    </row>
    <row r="1190" spans="1:2" x14ac:dyDescent="0.25">
      <c r="A1190" t="s">
        <v>353</v>
      </c>
      <c r="B1190" s="56">
        <v>200000</v>
      </c>
    </row>
    <row r="1191" spans="1:2" x14ac:dyDescent="0.25">
      <c r="A1191" t="s">
        <v>354</v>
      </c>
      <c r="B1191" s="56">
        <v>300000</v>
      </c>
    </row>
    <row r="1192" spans="1:2" x14ac:dyDescent="0.25">
      <c r="A1192" t="s">
        <v>352</v>
      </c>
      <c r="B1192" s="56">
        <v>100000</v>
      </c>
    </row>
    <row r="1193" spans="1:2" x14ac:dyDescent="0.25">
      <c r="A1193" t="s">
        <v>353</v>
      </c>
      <c r="B1193" s="56">
        <v>200000</v>
      </c>
    </row>
    <row r="1194" spans="1:2" x14ac:dyDescent="0.25">
      <c r="A1194" t="s">
        <v>354</v>
      </c>
      <c r="B1194" s="56">
        <v>300000</v>
      </c>
    </row>
    <row r="1195" spans="1:2" x14ac:dyDescent="0.25">
      <c r="A1195" t="s">
        <v>352</v>
      </c>
      <c r="B1195" s="56">
        <v>100000</v>
      </c>
    </row>
    <row r="1196" spans="1:2" x14ac:dyDescent="0.25">
      <c r="A1196" t="s">
        <v>353</v>
      </c>
      <c r="B1196" s="56">
        <v>200000</v>
      </c>
    </row>
    <row r="1197" spans="1:2" x14ac:dyDescent="0.25">
      <c r="A1197" t="s">
        <v>354</v>
      </c>
      <c r="B1197" s="56">
        <v>300000</v>
      </c>
    </row>
    <row r="1198" spans="1:2" x14ac:dyDescent="0.25">
      <c r="A1198" t="s">
        <v>352</v>
      </c>
      <c r="B1198" s="56">
        <v>100000</v>
      </c>
    </row>
    <row r="1199" spans="1:2" x14ac:dyDescent="0.25">
      <c r="A1199" t="s">
        <v>353</v>
      </c>
      <c r="B1199" s="56">
        <v>200000</v>
      </c>
    </row>
    <row r="1200" spans="1:2" x14ac:dyDescent="0.25">
      <c r="A1200" t="s">
        <v>354</v>
      </c>
      <c r="B1200" s="56">
        <v>300000</v>
      </c>
    </row>
    <row r="1201" spans="1:2" x14ac:dyDescent="0.25">
      <c r="A1201" t="s">
        <v>352</v>
      </c>
      <c r="B1201" s="56">
        <v>100000</v>
      </c>
    </row>
    <row r="1202" spans="1:2" x14ac:dyDescent="0.25">
      <c r="A1202" t="s">
        <v>353</v>
      </c>
      <c r="B1202" s="56">
        <v>200000</v>
      </c>
    </row>
    <row r="1203" spans="1:2" x14ac:dyDescent="0.25">
      <c r="A1203" t="s">
        <v>354</v>
      </c>
      <c r="B1203" s="56">
        <v>300000</v>
      </c>
    </row>
    <row r="1204" spans="1:2" x14ac:dyDescent="0.25">
      <c r="A1204" t="s">
        <v>352</v>
      </c>
      <c r="B1204" s="56">
        <v>100000</v>
      </c>
    </row>
    <row r="1205" spans="1:2" x14ac:dyDescent="0.25">
      <c r="A1205" t="s">
        <v>353</v>
      </c>
      <c r="B1205" s="56">
        <v>200000</v>
      </c>
    </row>
    <row r="1206" spans="1:2" x14ac:dyDescent="0.25">
      <c r="A1206" t="s">
        <v>354</v>
      </c>
      <c r="B1206" s="56">
        <v>300000</v>
      </c>
    </row>
    <row r="1207" spans="1:2" x14ac:dyDescent="0.25">
      <c r="A1207" t="s">
        <v>352</v>
      </c>
      <c r="B1207" s="56">
        <v>100000</v>
      </c>
    </row>
    <row r="1208" spans="1:2" x14ac:dyDescent="0.25">
      <c r="A1208" t="s">
        <v>353</v>
      </c>
      <c r="B1208" s="56">
        <v>200000</v>
      </c>
    </row>
    <row r="1209" spans="1:2" x14ac:dyDescent="0.25">
      <c r="A1209" t="s">
        <v>354</v>
      </c>
      <c r="B1209" s="56">
        <v>300000</v>
      </c>
    </row>
    <row r="1210" spans="1:2" x14ac:dyDescent="0.25">
      <c r="A1210" t="s">
        <v>352</v>
      </c>
      <c r="B1210" s="56">
        <v>100000</v>
      </c>
    </row>
    <row r="1211" spans="1:2" x14ac:dyDescent="0.25">
      <c r="A1211" t="s">
        <v>353</v>
      </c>
      <c r="B1211" s="56">
        <v>200000</v>
      </c>
    </row>
    <row r="1212" spans="1:2" x14ac:dyDescent="0.25">
      <c r="A1212" t="s">
        <v>354</v>
      </c>
      <c r="B1212" s="56">
        <v>300000</v>
      </c>
    </row>
    <row r="1213" spans="1:2" x14ac:dyDescent="0.25">
      <c r="A1213" t="s">
        <v>352</v>
      </c>
      <c r="B1213" s="56">
        <v>100000</v>
      </c>
    </row>
    <row r="1214" spans="1:2" x14ac:dyDescent="0.25">
      <c r="A1214" t="s">
        <v>353</v>
      </c>
      <c r="B1214" s="56">
        <v>200000</v>
      </c>
    </row>
    <row r="1215" spans="1:2" x14ac:dyDescent="0.25">
      <c r="A1215" t="s">
        <v>354</v>
      </c>
      <c r="B1215" s="56">
        <v>300000</v>
      </c>
    </row>
    <row r="1216" spans="1:2" x14ac:dyDescent="0.25">
      <c r="A1216" t="s">
        <v>352</v>
      </c>
      <c r="B1216" s="56">
        <v>100000</v>
      </c>
    </row>
    <row r="1217" spans="1:2" x14ac:dyDescent="0.25">
      <c r="A1217" t="s">
        <v>353</v>
      </c>
      <c r="B1217" s="56">
        <v>200000</v>
      </c>
    </row>
    <row r="1218" spans="1:2" x14ac:dyDescent="0.25">
      <c r="A1218" t="s">
        <v>354</v>
      </c>
      <c r="B1218" s="56">
        <v>300000</v>
      </c>
    </row>
    <row r="1219" spans="1:2" x14ac:dyDescent="0.25">
      <c r="A1219" t="s">
        <v>352</v>
      </c>
      <c r="B1219" s="56">
        <v>100000</v>
      </c>
    </row>
    <row r="1220" spans="1:2" x14ac:dyDescent="0.25">
      <c r="A1220" t="s">
        <v>353</v>
      </c>
      <c r="B1220" s="56">
        <v>200000</v>
      </c>
    </row>
    <row r="1221" spans="1:2" x14ac:dyDescent="0.25">
      <c r="A1221" t="s">
        <v>354</v>
      </c>
      <c r="B1221" s="56">
        <v>300000</v>
      </c>
    </row>
    <row r="1222" spans="1:2" x14ac:dyDescent="0.25">
      <c r="A1222" t="s">
        <v>352</v>
      </c>
      <c r="B1222" s="56">
        <v>100000</v>
      </c>
    </row>
    <row r="1223" spans="1:2" x14ac:dyDescent="0.25">
      <c r="A1223" t="s">
        <v>353</v>
      </c>
      <c r="B1223" s="56">
        <v>200000</v>
      </c>
    </row>
    <row r="1224" spans="1:2" x14ac:dyDescent="0.25">
      <c r="A1224" t="s">
        <v>354</v>
      </c>
      <c r="B1224" s="56">
        <v>300000</v>
      </c>
    </row>
    <row r="1225" spans="1:2" x14ac:dyDescent="0.25">
      <c r="A1225" t="s">
        <v>352</v>
      </c>
      <c r="B1225" s="56">
        <v>100000</v>
      </c>
    </row>
    <row r="1226" spans="1:2" x14ac:dyDescent="0.25">
      <c r="A1226" t="s">
        <v>353</v>
      </c>
      <c r="B1226" s="56">
        <v>200000</v>
      </c>
    </row>
    <row r="1227" spans="1:2" x14ac:dyDescent="0.25">
      <c r="A1227" t="s">
        <v>354</v>
      </c>
      <c r="B1227" s="56">
        <v>300000</v>
      </c>
    </row>
    <row r="1228" spans="1:2" x14ac:dyDescent="0.25">
      <c r="A1228" t="s">
        <v>352</v>
      </c>
      <c r="B1228" s="56">
        <v>100000</v>
      </c>
    </row>
    <row r="1229" spans="1:2" x14ac:dyDescent="0.25">
      <c r="A1229" t="s">
        <v>353</v>
      </c>
      <c r="B1229" s="56">
        <v>200000</v>
      </c>
    </row>
    <row r="1230" spans="1:2" x14ac:dyDescent="0.25">
      <c r="A1230" t="s">
        <v>354</v>
      </c>
      <c r="B1230" s="56">
        <v>300000</v>
      </c>
    </row>
    <row r="1231" spans="1:2" x14ac:dyDescent="0.25">
      <c r="A1231" t="s">
        <v>352</v>
      </c>
      <c r="B1231" s="56">
        <v>100000</v>
      </c>
    </row>
    <row r="1232" spans="1:2" x14ac:dyDescent="0.25">
      <c r="A1232" t="s">
        <v>353</v>
      </c>
      <c r="B1232" s="56">
        <v>200000</v>
      </c>
    </row>
    <row r="1233" spans="1:2" x14ac:dyDescent="0.25">
      <c r="A1233" t="s">
        <v>354</v>
      </c>
      <c r="B1233" s="56">
        <v>300000</v>
      </c>
    </row>
    <row r="1234" spans="1:2" x14ac:dyDescent="0.25">
      <c r="A1234" t="s">
        <v>352</v>
      </c>
      <c r="B1234" s="56">
        <v>100000</v>
      </c>
    </row>
    <row r="1235" spans="1:2" x14ac:dyDescent="0.25">
      <c r="A1235" t="s">
        <v>353</v>
      </c>
      <c r="B1235" s="56">
        <v>200000</v>
      </c>
    </row>
    <row r="1236" spans="1:2" x14ac:dyDescent="0.25">
      <c r="A1236" t="s">
        <v>354</v>
      </c>
      <c r="B1236" s="56">
        <v>300000</v>
      </c>
    </row>
    <row r="1237" spans="1:2" x14ac:dyDescent="0.25">
      <c r="A1237" t="s">
        <v>352</v>
      </c>
      <c r="B1237" s="56">
        <v>100000</v>
      </c>
    </row>
    <row r="1238" spans="1:2" x14ac:dyDescent="0.25">
      <c r="A1238" t="s">
        <v>353</v>
      </c>
      <c r="B1238" s="56">
        <v>200000</v>
      </c>
    </row>
    <row r="1239" spans="1:2" x14ac:dyDescent="0.25">
      <c r="A1239" t="s">
        <v>354</v>
      </c>
      <c r="B1239" s="56">
        <v>300000</v>
      </c>
    </row>
    <row r="1240" spans="1:2" x14ac:dyDescent="0.25">
      <c r="A1240" t="s">
        <v>352</v>
      </c>
      <c r="B1240" s="56">
        <v>100000</v>
      </c>
    </row>
    <row r="1241" spans="1:2" x14ac:dyDescent="0.25">
      <c r="A1241" t="s">
        <v>353</v>
      </c>
      <c r="B1241" s="56">
        <v>200000</v>
      </c>
    </row>
    <row r="1242" spans="1:2" x14ac:dyDescent="0.25">
      <c r="A1242" t="s">
        <v>354</v>
      </c>
      <c r="B1242" s="56">
        <v>300000</v>
      </c>
    </row>
    <row r="1243" spans="1:2" x14ac:dyDescent="0.25">
      <c r="A1243" t="s">
        <v>352</v>
      </c>
      <c r="B1243" s="56">
        <v>100000</v>
      </c>
    </row>
    <row r="1244" spans="1:2" x14ac:dyDescent="0.25">
      <c r="A1244" t="s">
        <v>353</v>
      </c>
      <c r="B1244" s="56">
        <v>200000</v>
      </c>
    </row>
    <row r="1245" spans="1:2" x14ac:dyDescent="0.25">
      <c r="A1245" t="s">
        <v>354</v>
      </c>
      <c r="B1245" s="56">
        <v>300000</v>
      </c>
    </row>
    <row r="1246" spans="1:2" x14ac:dyDescent="0.25">
      <c r="A1246" t="s">
        <v>352</v>
      </c>
      <c r="B1246" s="56">
        <v>100000</v>
      </c>
    </row>
    <row r="1247" spans="1:2" x14ac:dyDescent="0.25">
      <c r="A1247" t="s">
        <v>353</v>
      </c>
      <c r="B1247" s="56">
        <v>200000</v>
      </c>
    </row>
    <row r="1248" spans="1:2" x14ac:dyDescent="0.25">
      <c r="A1248" t="s">
        <v>354</v>
      </c>
      <c r="B1248" s="56">
        <v>300000</v>
      </c>
    </row>
    <row r="1249" spans="1:2" x14ac:dyDescent="0.25">
      <c r="A1249" t="s">
        <v>352</v>
      </c>
      <c r="B1249" s="56">
        <v>100000</v>
      </c>
    </row>
    <row r="1250" spans="1:2" x14ac:dyDescent="0.25">
      <c r="A1250" t="s">
        <v>353</v>
      </c>
      <c r="B1250" s="56">
        <v>200000</v>
      </c>
    </row>
    <row r="1251" spans="1:2" x14ac:dyDescent="0.25">
      <c r="A1251" t="s">
        <v>354</v>
      </c>
      <c r="B1251" s="56">
        <v>300000</v>
      </c>
    </row>
    <row r="1252" spans="1:2" x14ac:dyDescent="0.25">
      <c r="A1252" t="s">
        <v>352</v>
      </c>
      <c r="B1252" s="56">
        <v>100000</v>
      </c>
    </row>
    <row r="1253" spans="1:2" x14ac:dyDescent="0.25">
      <c r="A1253" t="s">
        <v>353</v>
      </c>
      <c r="B1253" s="56">
        <v>200000</v>
      </c>
    </row>
    <row r="1254" spans="1:2" x14ac:dyDescent="0.25">
      <c r="A1254" t="s">
        <v>354</v>
      </c>
      <c r="B1254" s="56">
        <v>300000</v>
      </c>
    </row>
    <row r="1255" spans="1:2" x14ac:dyDescent="0.25">
      <c r="A1255" t="s">
        <v>352</v>
      </c>
      <c r="B1255" s="56">
        <v>100000</v>
      </c>
    </row>
    <row r="1256" spans="1:2" x14ac:dyDescent="0.25">
      <c r="A1256" t="s">
        <v>353</v>
      </c>
      <c r="B1256" s="56">
        <v>200000</v>
      </c>
    </row>
    <row r="1257" spans="1:2" x14ac:dyDescent="0.25">
      <c r="A1257" t="s">
        <v>354</v>
      </c>
      <c r="B1257" s="56">
        <v>300000</v>
      </c>
    </row>
    <row r="1258" spans="1:2" x14ac:dyDescent="0.25">
      <c r="A1258" t="s">
        <v>352</v>
      </c>
      <c r="B1258" s="56">
        <v>100000</v>
      </c>
    </row>
    <row r="1259" spans="1:2" x14ac:dyDescent="0.25">
      <c r="A1259" t="s">
        <v>353</v>
      </c>
      <c r="B1259" s="56">
        <v>200000</v>
      </c>
    </row>
    <row r="1260" spans="1:2" x14ac:dyDescent="0.25">
      <c r="A1260" t="s">
        <v>354</v>
      </c>
      <c r="B1260" s="56">
        <v>300000</v>
      </c>
    </row>
    <row r="1261" spans="1:2" x14ac:dyDescent="0.25">
      <c r="A1261" t="s">
        <v>352</v>
      </c>
      <c r="B1261" s="56">
        <v>100000</v>
      </c>
    </row>
    <row r="1262" spans="1:2" x14ac:dyDescent="0.25">
      <c r="A1262" t="s">
        <v>353</v>
      </c>
      <c r="B1262" s="56">
        <v>200000</v>
      </c>
    </row>
    <row r="1263" spans="1:2" x14ac:dyDescent="0.25">
      <c r="A1263" t="s">
        <v>354</v>
      </c>
      <c r="B1263" s="56">
        <v>300000</v>
      </c>
    </row>
    <row r="1264" spans="1:2" x14ac:dyDescent="0.25">
      <c r="A1264" t="s">
        <v>352</v>
      </c>
      <c r="B1264" s="56">
        <v>100000</v>
      </c>
    </row>
    <row r="1265" spans="1:2" x14ac:dyDescent="0.25">
      <c r="A1265" t="s">
        <v>353</v>
      </c>
      <c r="B1265" s="56">
        <v>200000</v>
      </c>
    </row>
    <row r="1266" spans="1:2" x14ac:dyDescent="0.25">
      <c r="A1266" t="s">
        <v>354</v>
      </c>
      <c r="B1266" s="56">
        <v>300000</v>
      </c>
    </row>
    <row r="1267" spans="1:2" x14ac:dyDescent="0.25">
      <c r="A1267" t="s">
        <v>352</v>
      </c>
      <c r="B1267" s="56">
        <v>100000</v>
      </c>
    </row>
    <row r="1268" spans="1:2" x14ac:dyDescent="0.25">
      <c r="A1268" t="s">
        <v>353</v>
      </c>
      <c r="B1268" s="56">
        <v>200000</v>
      </c>
    </row>
    <row r="1269" spans="1:2" x14ac:dyDescent="0.25">
      <c r="A1269" t="s">
        <v>354</v>
      </c>
      <c r="B1269" s="56">
        <v>300000</v>
      </c>
    </row>
    <row r="1270" spans="1:2" x14ac:dyDescent="0.25">
      <c r="A1270" t="s">
        <v>352</v>
      </c>
      <c r="B1270" s="56">
        <v>100000</v>
      </c>
    </row>
    <row r="1271" spans="1:2" x14ac:dyDescent="0.25">
      <c r="A1271" t="s">
        <v>353</v>
      </c>
      <c r="B1271" s="56">
        <v>200000</v>
      </c>
    </row>
    <row r="1272" spans="1:2" x14ac:dyDescent="0.25">
      <c r="A1272" t="s">
        <v>354</v>
      </c>
      <c r="B1272" s="56">
        <v>300000</v>
      </c>
    </row>
    <row r="1273" spans="1:2" x14ac:dyDescent="0.25">
      <c r="A1273" t="s">
        <v>352</v>
      </c>
      <c r="B1273" s="56">
        <v>100000</v>
      </c>
    </row>
    <row r="1274" spans="1:2" x14ac:dyDescent="0.25">
      <c r="A1274" t="s">
        <v>353</v>
      </c>
      <c r="B1274" s="56">
        <v>200000</v>
      </c>
    </row>
    <row r="1275" spans="1:2" x14ac:dyDescent="0.25">
      <c r="A1275" t="s">
        <v>354</v>
      </c>
      <c r="B1275" s="56">
        <v>300000</v>
      </c>
    </row>
    <row r="1276" spans="1:2" x14ac:dyDescent="0.25">
      <c r="A1276" t="s">
        <v>352</v>
      </c>
      <c r="B1276" s="56">
        <v>100000</v>
      </c>
    </row>
    <row r="1277" spans="1:2" x14ac:dyDescent="0.25">
      <c r="A1277" t="s">
        <v>353</v>
      </c>
      <c r="B1277" s="56">
        <v>200000</v>
      </c>
    </row>
    <row r="1278" spans="1:2" x14ac:dyDescent="0.25">
      <c r="A1278" t="s">
        <v>354</v>
      </c>
      <c r="B1278" s="56">
        <v>300000</v>
      </c>
    </row>
    <row r="1279" spans="1:2" x14ac:dyDescent="0.25">
      <c r="A1279" t="s">
        <v>352</v>
      </c>
      <c r="B1279" s="56">
        <v>100000</v>
      </c>
    </row>
    <row r="1280" spans="1:2" x14ac:dyDescent="0.25">
      <c r="A1280" t="s">
        <v>353</v>
      </c>
      <c r="B1280" s="56">
        <v>200000</v>
      </c>
    </row>
    <row r="1281" spans="1:2" x14ac:dyDescent="0.25">
      <c r="A1281" t="s">
        <v>354</v>
      </c>
      <c r="B1281" s="56">
        <v>300000</v>
      </c>
    </row>
    <row r="1282" spans="1:2" x14ac:dyDescent="0.25">
      <c r="A1282" t="s">
        <v>352</v>
      </c>
      <c r="B1282" s="56">
        <v>100000</v>
      </c>
    </row>
    <row r="1283" spans="1:2" x14ac:dyDescent="0.25">
      <c r="A1283" t="s">
        <v>353</v>
      </c>
      <c r="B1283" s="56">
        <v>200000</v>
      </c>
    </row>
    <row r="1284" spans="1:2" x14ac:dyDescent="0.25">
      <c r="A1284" t="s">
        <v>354</v>
      </c>
      <c r="B1284" s="56">
        <v>300000</v>
      </c>
    </row>
    <row r="1285" spans="1:2" x14ac:dyDescent="0.25">
      <c r="A1285" t="s">
        <v>352</v>
      </c>
      <c r="B1285" s="56">
        <v>100000</v>
      </c>
    </row>
    <row r="1286" spans="1:2" x14ac:dyDescent="0.25">
      <c r="A1286" t="s">
        <v>353</v>
      </c>
      <c r="B1286" s="56">
        <v>200000</v>
      </c>
    </row>
    <row r="1287" spans="1:2" x14ac:dyDescent="0.25">
      <c r="A1287" t="s">
        <v>354</v>
      </c>
      <c r="B1287" s="56">
        <v>300000</v>
      </c>
    </row>
    <row r="1288" spans="1:2" x14ac:dyDescent="0.25">
      <c r="A1288" t="s">
        <v>352</v>
      </c>
      <c r="B1288" s="56">
        <v>100000</v>
      </c>
    </row>
    <row r="1289" spans="1:2" x14ac:dyDescent="0.25">
      <c r="A1289" t="s">
        <v>353</v>
      </c>
      <c r="B1289" s="56">
        <v>200000</v>
      </c>
    </row>
    <row r="1290" spans="1:2" x14ac:dyDescent="0.25">
      <c r="A1290" t="s">
        <v>354</v>
      </c>
      <c r="B1290" s="56">
        <v>300000</v>
      </c>
    </row>
    <row r="1291" spans="1:2" x14ac:dyDescent="0.25">
      <c r="A1291" t="s">
        <v>352</v>
      </c>
      <c r="B1291" s="56">
        <v>100000</v>
      </c>
    </row>
    <row r="1292" spans="1:2" x14ac:dyDescent="0.25">
      <c r="A1292" t="s">
        <v>353</v>
      </c>
      <c r="B1292" s="56">
        <v>200000</v>
      </c>
    </row>
    <row r="1293" spans="1:2" x14ac:dyDescent="0.25">
      <c r="A1293" t="s">
        <v>354</v>
      </c>
      <c r="B1293" s="56">
        <v>300000</v>
      </c>
    </row>
    <row r="1294" spans="1:2" x14ac:dyDescent="0.25">
      <c r="A1294" t="s">
        <v>352</v>
      </c>
      <c r="B1294" s="56">
        <v>100000</v>
      </c>
    </row>
    <row r="1295" spans="1:2" x14ac:dyDescent="0.25">
      <c r="A1295" t="s">
        <v>353</v>
      </c>
      <c r="B1295" s="56">
        <v>200000</v>
      </c>
    </row>
    <row r="1296" spans="1:2" x14ac:dyDescent="0.25">
      <c r="A1296" t="s">
        <v>354</v>
      </c>
      <c r="B1296" s="56">
        <v>300000</v>
      </c>
    </row>
    <row r="1297" spans="1:2" x14ac:dyDescent="0.25">
      <c r="A1297" t="s">
        <v>352</v>
      </c>
      <c r="B1297" s="56">
        <v>100000</v>
      </c>
    </row>
    <row r="1298" spans="1:2" x14ac:dyDescent="0.25">
      <c r="A1298" t="s">
        <v>353</v>
      </c>
      <c r="B1298" s="56">
        <v>200000</v>
      </c>
    </row>
    <row r="1299" spans="1:2" x14ac:dyDescent="0.25">
      <c r="A1299" t="s">
        <v>354</v>
      </c>
      <c r="B1299" s="56">
        <v>300000</v>
      </c>
    </row>
    <row r="1300" spans="1:2" x14ac:dyDescent="0.25">
      <c r="A1300" t="s">
        <v>352</v>
      </c>
      <c r="B1300" s="56">
        <v>100000</v>
      </c>
    </row>
    <row r="1301" spans="1:2" x14ac:dyDescent="0.25">
      <c r="A1301" t="s">
        <v>353</v>
      </c>
      <c r="B1301" s="56">
        <v>200000</v>
      </c>
    </row>
    <row r="1302" spans="1:2" x14ac:dyDescent="0.25">
      <c r="A1302" t="s">
        <v>354</v>
      </c>
      <c r="B1302" s="56">
        <v>300000</v>
      </c>
    </row>
    <row r="1303" spans="1:2" x14ac:dyDescent="0.25">
      <c r="A1303" t="s">
        <v>352</v>
      </c>
      <c r="B1303" s="56">
        <v>100000</v>
      </c>
    </row>
    <row r="1304" spans="1:2" x14ac:dyDescent="0.25">
      <c r="A1304" t="s">
        <v>353</v>
      </c>
      <c r="B1304" s="56">
        <v>200000</v>
      </c>
    </row>
    <row r="1305" spans="1:2" x14ac:dyDescent="0.25">
      <c r="A1305" t="s">
        <v>354</v>
      </c>
      <c r="B1305" s="56">
        <v>300000</v>
      </c>
    </row>
    <row r="1306" spans="1:2" x14ac:dyDescent="0.25">
      <c r="A1306" t="s">
        <v>352</v>
      </c>
      <c r="B1306" s="56">
        <v>100000</v>
      </c>
    </row>
    <row r="1307" spans="1:2" x14ac:dyDescent="0.25">
      <c r="A1307" t="s">
        <v>353</v>
      </c>
      <c r="B1307" s="56">
        <v>200000</v>
      </c>
    </row>
    <row r="1308" spans="1:2" x14ac:dyDescent="0.25">
      <c r="A1308" t="s">
        <v>354</v>
      </c>
      <c r="B1308" s="56">
        <v>300000</v>
      </c>
    </row>
    <row r="1309" spans="1:2" x14ac:dyDescent="0.25">
      <c r="A1309" t="s">
        <v>352</v>
      </c>
      <c r="B1309" s="56">
        <v>100000</v>
      </c>
    </row>
    <row r="1310" spans="1:2" x14ac:dyDescent="0.25">
      <c r="A1310" t="s">
        <v>353</v>
      </c>
      <c r="B1310" s="56">
        <v>200000</v>
      </c>
    </row>
    <row r="1311" spans="1:2" x14ac:dyDescent="0.25">
      <c r="A1311" t="s">
        <v>354</v>
      </c>
      <c r="B1311" s="56">
        <v>300000</v>
      </c>
    </row>
    <row r="1312" spans="1:2" x14ac:dyDescent="0.25">
      <c r="A1312" t="s">
        <v>352</v>
      </c>
      <c r="B1312" s="56">
        <v>100000</v>
      </c>
    </row>
    <row r="1313" spans="1:2" x14ac:dyDescent="0.25">
      <c r="A1313" t="s">
        <v>353</v>
      </c>
      <c r="B1313" s="56">
        <v>200000</v>
      </c>
    </row>
    <row r="1314" spans="1:2" x14ac:dyDescent="0.25">
      <c r="A1314" t="s">
        <v>354</v>
      </c>
      <c r="B1314" s="56">
        <v>300000</v>
      </c>
    </row>
    <row r="1315" spans="1:2" x14ac:dyDescent="0.25">
      <c r="A1315" t="s">
        <v>352</v>
      </c>
      <c r="B1315" s="56">
        <v>100000</v>
      </c>
    </row>
    <row r="1316" spans="1:2" x14ac:dyDescent="0.25">
      <c r="A1316" t="s">
        <v>353</v>
      </c>
      <c r="B1316" s="56">
        <v>200000</v>
      </c>
    </row>
    <row r="1317" spans="1:2" x14ac:dyDescent="0.25">
      <c r="A1317" t="s">
        <v>354</v>
      </c>
      <c r="B1317" s="56">
        <v>300000</v>
      </c>
    </row>
    <row r="1318" spans="1:2" x14ac:dyDescent="0.25">
      <c r="A1318" t="s">
        <v>352</v>
      </c>
      <c r="B1318" s="56">
        <v>100000</v>
      </c>
    </row>
    <row r="1319" spans="1:2" x14ac:dyDescent="0.25">
      <c r="A1319" t="s">
        <v>353</v>
      </c>
      <c r="B1319" s="56">
        <v>200000</v>
      </c>
    </row>
    <row r="1320" spans="1:2" x14ac:dyDescent="0.25">
      <c r="A1320" t="s">
        <v>354</v>
      </c>
      <c r="B1320" s="56">
        <v>300000</v>
      </c>
    </row>
    <row r="1321" spans="1:2" x14ac:dyDescent="0.25">
      <c r="A1321" t="s">
        <v>352</v>
      </c>
      <c r="B1321" s="56">
        <v>100000</v>
      </c>
    </row>
    <row r="1322" spans="1:2" x14ac:dyDescent="0.25">
      <c r="A1322" t="s">
        <v>353</v>
      </c>
      <c r="B1322" s="56">
        <v>200000</v>
      </c>
    </row>
    <row r="1323" spans="1:2" x14ac:dyDescent="0.25">
      <c r="A1323" t="s">
        <v>354</v>
      </c>
      <c r="B1323" s="56">
        <v>300000</v>
      </c>
    </row>
    <row r="1324" spans="1:2" x14ac:dyDescent="0.25">
      <c r="A1324" t="s">
        <v>352</v>
      </c>
      <c r="B1324" s="56">
        <v>100000</v>
      </c>
    </row>
    <row r="1325" spans="1:2" x14ac:dyDescent="0.25">
      <c r="A1325" t="s">
        <v>353</v>
      </c>
      <c r="B1325" s="56">
        <v>200000</v>
      </c>
    </row>
    <row r="1326" spans="1:2" x14ac:dyDescent="0.25">
      <c r="A1326" t="s">
        <v>354</v>
      </c>
      <c r="B1326" s="56">
        <v>300000</v>
      </c>
    </row>
    <row r="1327" spans="1:2" x14ac:dyDescent="0.25">
      <c r="A1327" t="s">
        <v>352</v>
      </c>
      <c r="B1327" s="56">
        <v>100000</v>
      </c>
    </row>
    <row r="1328" spans="1:2" x14ac:dyDescent="0.25">
      <c r="A1328" t="s">
        <v>353</v>
      </c>
      <c r="B1328" s="56">
        <v>200000</v>
      </c>
    </row>
    <row r="1329" spans="1:2" x14ac:dyDescent="0.25">
      <c r="A1329" t="s">
        <v>354</v>
      </c>
      <c r="B1329" s="56">
        <v>300000</v>
      </c>
    </row>
    <row r="1330" spans="1:2" x14ac:dyDescent="0.25">
      <c r="A1330" t="s">
        <v>352</v>
      </c>
      <c r="B1330" s="56">
        <v>100000</v>
      </c>
    </row>
    <row r="1331" spans="1:2" x14ac:dyDescent="0.25">
      <c r="A1331" t="s">
        <v>353</v>
      </c>
      <c r="B1331" s="56">
        <v>200000</v>
      </c>
    </row>
    <row r="1332" spans="1:2" x14ac:dyDescent="0.25">
      <c r="A1332" t="s">
        <v>354</v>
      </c>
      <c r="B1332" s="56">
        <v>300000</v>
      </c>
    </row>
    <row r="1333" spans="1:2" x14ac:dyDescent="0.25">
      <c r="A1333" t="s">
        <v>352</v>
      </c>
      <c r="B1333" s="56">
        <v>100000</v>
      </c>
    </row>
    <row r="1334" spans="1:2" x14ac:dyDescent="0.25">
      <c r="A1334" t="s">
        <v>353</v>
      </c>
      <c r="B1334" s="56">
        <v>200000</v>
      </c>
    </row>
    <row r="1335" spans="1:2" x14ac:dyDescent="0.25">
      <c r="A1335" t="s">
        <v>354</v>
      </c>
      <c r="B1335" s="56">
        <v>300000</v>
      </c>
    </row>
    <row r="1336" spans="1:2" x14ac:dyDescent="0.25">
      <c r="A1336" t="s">
        <v>352</v>
      </c>
      <c r="B1336" s="56">
        <v>100000</v>
      </c>
    </row>
    <row r="1337" spans="1:2" x14ac:dyDescent="0.25">
      <c r="A1337" t="s">
        <v>353</v>
      </c>
      <c r="B1337" s="56">
        <v>200000</v>
      </c>
    </row>
    <row r="1338" spans="1:2" x14ac:dyDescent="0.25">
      <c r="A1338" t="s">
        <v>354</v>
      </c>
      <c r="B1338" s="56">
        <v>300000</v>
      </c>
    </row>
    <row r="1339" spans="1:2" x14ac:dyDescent="0.25">
      <c r="A1339" t="s">
        <v>352</v>
      </c>
      <c r="B1339" s="56">
        <v>100000</v>
      </c>
    </row>
    <row r="1340" spans="1:2" x14ac:dyDescent="0.25">
      <c r="A1340" t="s">
        <v>353</v>
      </c>
      <c r="B1340" s="56">
        <v>200000</v>
      </c>
    </row>
    <row r="1341" spans="1:2" x14ac:dyDescent="0.25">
      <c r="A1341" t="s">
        <v>354</v>
      </c>
      <c r="B1341" s="56">
        <v>300000</v>
      </c>
    </row>
    <row r="1342" spans="1:2" x14ac:dyDescent="0.25">
      <c r="A1342" t="s">
        <v>352</v>
      </c>
      <c r="B1342" s="56">
        <v>100000</v>
      </c>
    </row>
    <row r="1343" spans="1:2" x14ac:dyDescent="0.25">
      <c r="A1343" t="s">
        <v>353</v>
      </c>
      <c r="B1343" s="56">
        <v>200000</v>
      </c>
    </row>
    <row r="1344" spans="1:2" x14ac:dyDescent="0.25">
      <c r="A1344" t="s">
        <v>354</v>
      </c>
      <c r="B1344" s="56">
        <v>300000</v>
      </c>
    </row>
    <row r="1345" spans="1:2" x14ac:dyDescent="0.25">
      <c r="A1345" t="s">
        <v>352</v>
      </c>
      <c r="B1345" s="56">
        <v>100000</v>
      </c>
    </row>
    <row r="1346" spans="1:2" x14ac:dyDescent="0.25">
      <c r="A1346" t="s">
        <v>353</v>
      </c>
      <c r="B1346" s="56">
        <v>200000</v>
      </c>
    </row>
    <row r="1347" spans="1:2" x14ac:dyDescent="0.25">
      <c r="A1347" t="s">
        <v>354</v>
      </c>
      <c r="B1347" s="56">
        <v>300000</v>
      </c>
    </row>
    <row r="1348" spans="1:2" x14ac:dyDescent="0.25">
      <c r="A1348" t="s">
        <v>352</v>
      </c>
      <c r="B1348" s="56">
        <v>100000</v>
      </c>
    </row>
    <row r="1349" spans="1:2" x14ac:dyDescent="0.25">
      <c r="A1349" t="s">
        <v>353</v>
      </c>
      <c r="B1349" s="56">
        <v>200000</v>
      </c>
    </row>
    <row r="1350" spans="1:2" x14ac:dyDescent="0.25">
      <c r="A1350" t="s">
        <v>354</v>
      </c>
      <c r="B1350" s="56">
        <v>300000</v>
      </c>
    </row>
    <row r="1351" spans="1:2" x14ac:dyDescent="0.25">
      <c r="A1351" t="s">
        <v>352</v>
      </c>
      <c r="B1351" s="56">
        <v>100000</v>
      </c>
    </row>
    <row r="1352" spans="1:2" x14ac:dyDescent="0.25">
      <c r="A1352" t="s">
        <v>353</v>
      </c>
      <c r="B1352" s="56">
        <v>200000</v>
      </c>
    </row>
    <row r="1353" spans="1:2" x14ac:dyDescent="0.25">
      <c r="A1353" t="s">
        <v>354</v>
      </c>
      <c r="B1353" s="56">
        <v>300000</v>
      </c>
    </row>
    <row r="1354" spans="1:2" x14ac:dyDescent="0.25">
      <c r="A1354" t="s">
        <v>352</v>
      </c>
      <c r="B1354" s="56">
        <v>100000</v>
      </c>
    </row>
    <row r="1355" spans="1:2" x14ac:dyDescent="0.25">
      <c r="A1355" t="s">
        <v>353</v>
      </c>
      <c r="B1355" s="56">
        <v>200000</v>
      </c>
    </row>
    <row r="1356" spans="1:2" x14ac:dyDescent="0.25">
      <c r="A1356" t="s">
        <v>354</v>
      </c>
      <c r="B1356" s="56">
        <v>300000</v>
      </c>
    </row>
    <row r="1357" spans="1:2" x14ac:dyDescent="0.25">
      <c r="A1357" t="s">
        <v>352</v>
      </c>
      <c r="B1357" s="56">
        <v>100000</v>
      </c>
    </row>
    <row r="1358" spans="1:2" x14ac:dyDescent="0.25">
      <c r="A1358" t="s">
        <v>353</v>
      </c>
      <c r="B1358" s="56">
        <v>200000</v>
      </c>
    </row>
    <row r="1359" spans="1:2" x14ac:dyDescent="0.25">
      <c r="A1359" t="s">
        <v>354</v>
      </c>
      <c r="B1359" s="56">
        <v>300000</v>
      </c>
    </row>
    <row r="1360" spans="1:2" x14ac:dyDescent="0.25">
      <c r="A1360" t="s">
        <v>352</v>
      </c>
      <c r="B1360" s="56">
        <v>100000</v>
      </c>
    </row>
    <row r="1361" spans="1:2" x14ac:dyDescent="0.25">
      <c r="A1361" t="s">
        <v>353</v>
      </c>
      <c r="B1361" s="56">
        <v>200000</v>
      </c>
    </row>
    <row r="1362" spans="1:2" x14ac:dyDescent="0.25">
      <c r="A1362" t="s">
        <v>354</v>
      </c>
      <c r="B1362" s="56">
        <v>300000</v>
      </c>
    </row>
    <row r="1363" spans="1:2" x14ac:dyDescent="0.25">
      <c r="A1363" t="s">
        <v>352</v>
      </c>
      <c r="B1363" s="56">
        <v>100000</v>
      </c>
    </row>
    <row r="1364" spans="1:2" x14ac:dyDescent="0.25">
      <c r="A1364" t="s">
        <v>353</v>
      </c>
      <c r="B1364" s="56">
        <v>200000</v>
      </c>
    </row>
    <row r="1365" spans="1:2" x14ac:dyDescent="0.25">
      <c r="A1365" t="s">
        <v>354</v>
      </c>
      <c r="B1365" s="56">
        <v>300000</v>
      </c>
    </row>
    <row r="1366" spans="1:2" x14ac:dyDescent="0.25">
      <c r="A1366" t="s">
        <v>352</v>
      </c>
      <c r="B1366" s="56">
        <v>100000</v>
      </c>
    </row>
    <row r="1367" spans="1:2" x14ac:dyDescent="0.25">
      <c r="A1367" t="s">
        <v>353</v>
      </c>
      <c r="B1367" s="56">
        <v>200000</v>
      </c>
    </row>
    <row r="1368" spans="1:2" x14ac:dyDescent="0.25">
      <c r="A1368" t="s">
        <v>354</v>
      </c>
      <c r="B1368" s="56">
        <v>300000</v>
      </c>
    </row>
    <row r="1369" spans="1:2" x14ac:dyDescent="0.25">
      <c r="A1369" t="s">
        <v>352</v>
      </c>
      <c r="B1369" s="56">
        <v>100000</v>
      </c>
    </row>
    <row r="1370" spans="1:2" x14ac:dyDescent="0.25">
      <c r="A1370" t="s">
        <v>353</v>
      </c>
      <c r="B1370" s="56">
        <v>200000</v>
      </c>
    </row>
    <row r="1371" spans="1:2" x14ac:dyDescent="0.25">
      <c r="A1371" t="s">
        <v>354</v>
      </c>
      <c r="B1371" s="56">
        <v>300000</v>
      </c>
    </row>
    <row r="1372" spans="1:2" x14ac:dyDescent="0.25">
      <c r="A1372" t="s">
        <v>352</v>
      </c>
      <c r="B1372" s="56">
        <v>100000</v>
      </c>
    </row>
    <row r="1373" spans="1:2" x14ac:dyDescent="0.25">
      <c r="A1373" t="s">
        <v>353</v>
      </c>
      <c r="B1373" s="56">
        <v>200000</v>
      </c>
    </row>
    <row r="1374" spans="1:2" x14ac:dyDescent="0.25">
      <c r="A1374" t="s">
        <v>354</v>
      </c>
      <c r="B1374" s="56">
        <v>300000</v>
      </c>
    </row>
    <row r="1375" spans="1:2" x14ac:dyDescent="0.25">
      <c r="A1375" t="s">
        <v>352</v>
      </c>
      <c r="B1375" s="56">
        <v>100000</v>
      </c>
    </row>
    <row r="1376" spans="1:2" x14ac:dyDescent="0.25">
      <c r="A1376" t="s">
        <v>353</v>
      </c>
      <c r="B1376" s="56">
        <v>200000</v>
      </c>
    </row>
    <row r="1377" spans="1:2" x14ac:dyDescent="0.25">
      <c r="A1377" t="s">
        <v>354</v>
      </c>
      <c r="B1377" s="56">
        <v>300000</v>
      </c>
    </row>
    <row r="1378" spans="1:2" x14ac:dyDescent="0.25">
      <c r="A1378" t="s">
        <v>352</v>
      </c>
      <c r="B1378" s="56">
        <v>100000</v>
      </c>
    </row>
    <row r="1379" spans="1:2" x14ac:dyDescent="0.25">
      <c r="A1379" t="s">
        <v>353</v>
      </c>
      <c r="B1379" s="56">
        <v>200000</v>
      </c>
    </row>
    <row r="1380" spans="1:2" x14ac:dyDescent="0.25">
      <c r="A1380" t="s">
        <v>354</v>
      </c>
      <c r="B1380" s="56">
        <v>300000</v>
      </c>
    </row>
    <row r="1381" spans="1:2" x14ac:dyDescent="0.25">
      <c r="A1381" t="s">
        <v>352</v>
      </c>
      <c r="B1381" s="56">
        <v>100000</v>
      </c>
    </row>
    <row r="1382" spans="1:2" x14ac:dyDescent="0.25">
      <c r="A1382" t="s">
        <v>353</v>
      </c>
      <c r="B1382" s="56">
        <v>200000</v>
      </c>
    </row>
    <row r="1383" spans="1:2" x14ac:dyDescent="0.25">
      <c r="A1383" t="s">
        <v>354</v>
      </c>
      <c r="B1383" s="56">
        <v>300000</v>
      </c>
    </row>
    <row r="1384" spans="1:2" x14ac:dyDescent="0.25">
      <c r="A1384" t="s">
        <v>352</v>
      </c>
      <c r="B1384" s="56">
        <v>100000</v>
      </c>
    </row>
    <row r="1385" spans="1:2" x14ac:dyDescent="0.25">
      <c r="A1385" t="s">
        <v>353</v>
      </c>
      <c r="B1385" s="56">
        <v>200000</v>
      </c>
    </row>
    <row r="1386" spans="1:2" x14ac:dyDescent="0.25">
      <c r="A1386" t="s">
        <v>354</v>
      </c>
      <c r="B1386" s="56">
        <v>300000</v>
      </c>
    </row>
    <row r="1387" spans="1:2" x14ac:dyDescent="0.25">
      <c r="A1387" t="s">
        <v>352</v>
      </c>
      <c r="B1387" s="56">
        <v>100000</v>
      </c>
    </row>
    <row r="1388" spans="1:2" x14ac:dyDescent="0.25">
      <c r="A1388" t="s">
        <v>353</v>
      </c>
      <c r="B1388" s="56">
        <v>200000</v>
      </c>
    </row>
    <row r="1389" spans="1:2" x14ac:dyDescent="0.25">
      <c r="A1389" t="s">
        <v>354</v>
      </c>
      <c r="B1389" s="56">
        <v>300000</v>
      </c>
    </row>
    <row r="1390" spans="1:2" x14ac:dyDescent="0.25">
      <c r="A1390" t="s">
        <v>352</v>
      </c>
      <c r="B1390" s="56">
        <v>100000</v>
      </c>
    </row>
    <row r="1391" spans="1:2" x14ac:dyDescent="0.25">
      <c r="A1391" t="s">
        <v>353</v>
      </c>
      <c r="B1391" s="56">
        <v>200000</v>
      </c>
    </row>
    <row r="1392" spans="1:2" x14ac:dyDescent="0.25">
      <c r="A1392" t="s">
        <v>354</v>
      </c>
      <c r="B1392" s="56">
        <v>300000</v>
      </c>
    </row>
    <row r="1393" spans="1:2" x14ac:dyDescent="0.25">
      <c r="A1393" t="s">
        <v>352</v>
      </c>
      <c r="B1393" s="56">
        <v>100000</v>
      </c>
    </row>
    <row r="1394" spans="1:2" x14ac:dyDescent="0.25">
      <c r="A1394" t="s">
        <v>353</v>
      </c>
      <c r="B1394" s="56">
        <v>200000</v>
      </c>
    </row>
    <row r="1395" spans="1:2" x14ac:dyDescent="0.25">
      <c r="A1395" t="s">
        <v>354</v>
      </c>
      <c r="B1395" s="56">
        <v>300000</v>
      </c>
    </row>
    <row r="1396" spans="1:2" x14ac:dyDescent="0.25">
      <c r="A1396" t="s">
        <v>352</v>
      </c>
      <c r="B1396" s="56">
        <v>100000</v>
      </c>
    </row>
    <row r="1397" spans="1:2" x14ac:dyDescent="0.25">
      <c r="A1397" t="s">
        <v>353</v>
      </c>
      <c r="B1397" s="56">
        <v>200000</v>
      </c>
    </row>
    <row r="1398" spans="1:2" x14ac:dyDescent="0.25">
      <c r="A1398" t="s">
        <v>354</v>
      </c>
      <c r="B1398" s="56">
        <v>300000</v>
      </c>
    </row>
    <row r="1399" spans="1:2" x14ac:dyDescent="0.25">
      <c r="A1399" t="s">
        <v>352</v>
      </c>
      <c r="B1399" s="56">
        <v>100000</v>
      </c>
    </row>
    <row r="1400" spans="1:2" x14ac:dyDescent="0.25">
      <c r="A1400" t="s">
        <v>353</v>
      </c>
      <c r="B1400" s="56">
        <v>200000</v>
      </c>
    </row>
    <row r="1401" spans="1:2" x14ac:dyDescent="0.25">
      <c r="A1401" t="s">
        <v>354</v>
      </c>
      <c r="B1401" s="56">
        <v>300000</v>
      </c>
    </row>
    <row r="1402" spans="1:2" x14ac:dyDescent="0.25">
      <c r="A1402" t="s">
        <v>352</v>
      </c>
      <c r="B1402" s="56">
        <v>100000</v>
      </c>
    </row>
    <row r="1403" spans="1:2" x14ac:dyDescent="0.25">
      <c r="A1403" t="s">
        <v>353</v>
      </c>
      <c r="B1403" s="56">
        <v>200000</v>
      </c>
    </row>
    <row r="1404" spans="1:2" x14ac:dyDescent="0.25">
      <c r="A1404" t="s">
        <v>354</v>
      </c>
      <c r="B1404" s="56">
        <v>300000</v>
      </c>
    </row>
    <row r="1405" spans="1:2" x14ac:dyDescent="0.25">
      <c r="A1405" t="s">
        <v>352</v>
      </c>
      <c r="B1405" s="56">
        <v>100000</v>
      </c>
    </row>
    <row r="1406" spans="1:2" x14ac:dyDescent="0.25">
      <c r="A1406" t="s">
        <v>353</v>
      </c>
      <c r="B1406" s="56">
        <v>200000</v>
      </c>
    </row>
    <row r="1407" spans="1:2" x14ac:dyDescent="0.25">
      <c r="A1407" t="s">
        <v>354</v>
      </c>
      <c r="B1407" s="56">
        <v>300000</v>
      </c>
    </row>
    <row r="1408" spans="1:2" x14ac:dyDescent="0.25">
      <c r="A1408" t="s">
        <v>352</v>
      </c>
      <c r="B1408" s="56">
        <v>100000</v>
      </c>
    </row>
    <row r="1409" spans="1:2" x14ac:dyDescent="0.25">
      <c r="A1409" t="s">
        <v>353</v>
      </c>
      <c r="B1409" s="56">
        <v>200000</v>
      </c>
    </row>
    <row r="1410" spans="1:2" x14ac:dyDescent="0.25">
      <c r="A1410" t="s">
        <v>354</v>
      </c>
      <c r="B1410" s="56">
        <v>300000</v>
      </c>
    </row>
    <row r="1411" spans="1:2" x14ac:dyDescent="0.25">
      <c r="A1411" t="s">
        <v>352</v>
      </c>
      <c r="B1411" s="56">
        <v>100000</v>
      </c>
    </row>
    <row r="1412" spans="1:2" x14ac:dyDescent="0.25">
      <c r="A1412" t="s">
        <v>353</v>
      </c>
      <c r="B1412" s="56">
        <v>200000</v>
      </c>
    </row>
    <row r="1413" spans="1:2" x14ac:dyDescent="0.25">
      <c r="A1413" t="s">
        <v>354</v>
      </c>
      <c r="B1413" s="56">
        <v>300000</v>
      </c>
    </row>
    <row r="1414" spans="1:2" x14ac:dyDescent="0.25">
      <c r="A1414" t="s">
        <v>352</v>
      </c>
      <c r="B1414" s="56">
        <v>100000</v>
      </c>
    </row>
    <row r="1415" spans="1:2" x14ac:dyDescent="0.25">
      <c r="A1415" t="s">
        <v>353</v>
      </c>
      <c r="B1415" s="56">
        <v>200000</v>
      </c>
    </row>
    <row r="1416" spans="1:2" x14ac:dyDescent="0.25">
      <c r="A1416" t="s">
        <v>354</v>
      </c>
      <c r="B1416" s="56">
        <v>300000</v>
      </c>
    </row>
    <row r="1417" spans="1:2" x14ac:dyDescent="0.25">
      <c r="A1417" t="s">
        <v>352</v>
      </c>
      <c r="B1417" s="56">
        <v>100000</v>
      </c>
    </row>
    <row r="1418" spans="1:2" x14ac:dyDescent="0.25">
      <c r="A1418" t="s">
        <v>353</v>
      </c>
      <c r="B1418" s="56">
        <v>200000</v>
      </c>
    </row>
    <row r="1419" spans="1:2" x14ac:dyDescent="0.25">
      <c r="A1419" t="s">
        <v>354</v>
      </c>
      <c r="B1419" s="56">
        <v>300000</v>
      </c>
    </row>
    <row r="1420" spans="1:2" x14ac:dyDescent="0.25">
      <c r="A1420" t="s">
        <v>352</v>
      </c>
      <c r="B1420" s="56">
        <v>100000</v>
      </c>
    </row>
    <row r="1421" spans="1:2" x14ac:dyDescent="0.25">
      <c r="A1421" t="s">
        <v>353</v>
      </c>
      <c r="B1421" s="56">
        <v>200000</v>
      </c>
    </row>
    <row r="1422" spans="1:2" x14ac:dyDescent="0.25">
      <c r="A1422" t="s">
        <v>354</v>
      </c>
      <c r="B1422" s="56">
        <v>300000</v>
      </c>
    </row>
    <row r="1423" spans="1:2" x14ac:dyDescent="0.25">
      <c r="A1423" t="s">
        <v>352</v>
      </c>
      <c r="B1423" s="56">
        <v>100000</v>
      </c>
    </row>
    <row r="1424" spans="1:2" x14ac:dyDescent="0.25">
      <c r="A1424" t="s">
        <v>353</v>
      </c>
      <c r="B1424" s="56">
        <v>200000</v>
      </c>
    </row>
    <row r="1425" spans="1:2" x14ac:dyDescent="0.25">
      <c r="A1425" t="s">
        <v>354</v>
      </c>
      <c r="B1425" s="56">
        <v>300000</v>
      </c>
    </row>
    <row r="1426" spans="1:2" x14ac:dyDescent="0.25">
      <c r="A1426" t="s">
        <v>352</v>
      </c>
      <c r="B1426" s="56">
        <v>100000</v>
      </c>
    </row>
    <row r="1427" spans="1:2" x14ac:dyDescent="0.25">
      <c r="A1427" t="s">
        <v>353</v>
      </c>
      <c r="B1427" s="56">
        <v>200000</v>
      </c>
    </row>
    <row r="1428" spans="1:2" x14ac:dyDescent="0.25">
      <c r="A1428" t="s">
        <v>354</v>
      </c>
      <c r="B1428" s="56">
        <v>300000</v>
      </c>
    </row>
    <row r="1429" spans="1:2" x14ac:dyDescent="0.25">
      <c r="A1429" t="s">
        <v>352</v>
      </c>
      <c r="B1429" s="56">
        <v>100000</v>
      </c>
    </row>
    <row r="1430" spans="1:2" x14ac:dyDescent="0.25">
      <c r="A1430" t="s">
        <v>353</v>
      </c>
      <c r="B1430" s="56">
        <v>200000</v>
      </c>
    </row>
    <row r="1431" spans="1:2" x14ac:dyDescent="0.25">
      <c r="A1431" t="s">
        <v>354</v>
      </c>
      <c r="B1431" s="56">
        <v>300000</v>
      </c>
    </row>
    <row r="1432" spans="1:2" x14ac:dyDescent="0.25">
      <c r="A1432" t="s">
        <v>352</v>
      </c>
      <c r="B1432" s="56">
        <v>100000</v>
      </c>
    </row>
    <row r="1433" spans="1:2" x14ac:dyDescent="0.25">
      <c r="A1433" t="s">
        <v>353</v>
      </c>
      <c r="B1433" s="56">
        <v>200000</v>
      </c>
    </row>
    <row r="1434" spans="1:2" x14ac:dyDescent="0.25">
      <c r="A1434" t="s">
        <v>354</v>
      </c>
      <c r="B1434" s="56">
        <v>300000</v>
      </c>
    </row>
    <row r="1435" spans="1:2" x14ac:dyDescent="0.25">
      <c r="A1435" t="s">
        <v>352</v>
      </c>
      <c r="B1435" s="56">
        <v>100000</v>
      </c>
    </row>
    <row r="1436" spans="1:2" x14ac:dyDescent="0.25">
      <c r="A1436" t="s">
        <v>353</v>
      </c>
      <c r="B1436" s="56">
        <v>200000</v>
      </c>
    </row>
    <row r="1437" spans="1:2" x14ac:dyDescent="0.25">
      <c r="A1437" t="s">
        <v>354</v>
      </c>
      <c r="B1437" s="56">
        <v>300000</v>
      </c>
    </row>
    <row r="1438" spans="1:2" x14ac:dyDescent="0.25">
      <c r="A1438" t="s">
        <v>352</v>
      </c>
      <c r="B1438" s="56">
        <v>100000</v>
      </c>
    </row>
    <row r="1439" spans="1:2" x14ac:dyDescent="0.25">
      <c r="A1439" t="s">
        <v>353</v>
      </c>
      <c r="B1439" s="56">
        <v>200000</v>
      </c>
    </row>
    <row r="1440" spans="1:2" x14ac:dyDescent="0.25">
      <c r="A1440" t="s">
        <v>354</v>
      </c>
      <c r="B1440" s="56">
        <v>300000</v>
      </c>
    </row>
    <row r="1441" spans="1:2" x14ac:dyDescent="0.25">
      <c r="A1441" t="s">
        <v>352</v>
      </c>
      <c r="B1441" s="56">
        <v>100000</v>
      </c>
    </row>
    <row r="1442" spans="1:2" x14ac:dyDescent="0.25">
      <c r="A1442" t="s">
        <v>353</v>
      </c>
      <c r="B1442" s="56">
        <v>200000</v>
      </c>
    </row>
    <row r="1443" spans="1:2" x14ac:dyDescent="0.25">
      <c r="A1443" t="s">
        <v>354</v>
      </c>
      <c r="B1443" s="56">
        <v>300000</v>
      </c>
    </row>
    <row r="1444" spans="1:2" x14ac:dyDescent="0.25">
      <c r="A1444" t="s">
        <v>352</v>
      </c>
      <c r="B1444" s="56">
        <v>100000</v>
      </c>
    </row>
    <row r="1445" spans="1:2" x14ac:dyDescent="0.25">
      <c r="A1445" t="s">
        <v>353</v>
      </c>
      <c r="B1445" s="56">
        <v>200000</v>
      </c>
    </row>
    <row r="1446" spans="1:2" x14ac:dyDescent="0.25">
      <c r="A1446" t="s">
        <v>354</v>
      </c>
      <c r="B1446" s="56">
        <v>300000</v>
      </c>
    </row>
    <row r="1447" spans="1:2" x14ac:dyDescent="0.25">
      <c r="A1447" t="s">
        <v>352</v>
      </c>
      <c r="B1447" s="56">
        <v>100000</v>
      </c>
    </row>
    <row r="1448" spans="1:2" x14ac:dyDescent="0.25">
      <c r="A1448" t="s">
        <v>353</v>
      </c>
      <c r="B1448" s="56">
        <v>200000</v>
      </c>
    </row>
    <row r="1449" spans="1:2" x14ac:dyDescent="0.25">
      <c r="A1449" t="s">
        <v>354</v>
      </c>
      <c r="B1449" s="56">
        <v>300000</v>
      </c>
    </row>
    <row r="1450" spans="1:2" x14ac:dyDescent="0.25">
      <c r="A1450" t="s">
        <v>352</v>
      </c>
      <c r="B1450" s="56">
        <v>100000</v>
      </c>
    </row>
    <row r="1451" spans="1:2" x14ac:dyDescent="0.25">
      <c r="A1451" t="s">
        <v>353</v>
      </c>
      <c r="B1451" s="56">
        <v>200000</v>
      </c>
    </row>
    <row r="1452" spans="1:2" x14ac:dyDescent="0.25">
      <c r="A1452" t="s">
        <v>354</v>
      </c>
      <c r="B1452" s="56">
        <v>300000</v>
      </c>
    </row>
    <row r="1453" spans="1:2" x14ac:dyDescent="0.25">
      <c r="A1453" t="s">
        <v>352</v>
      </c>
      <c r="B1453" s="56">
        <v>100000</v>
      </c>
    </row>
    <row r="1454" spans="1:2" x14ac:dyDescent="0.25">
      <c r="A1454" t="s">
        <v>353</v>
      </c>
      <c r="B1454" s="56">
        <v>200000</v>
      </c>
    </row>
    <row r="1455" spans="1:2" x14ac:dyDescent="0.25">
      <c r="A1455" t="s">
        <v>354</v>
      </c>
      <c r="B1455" s="56">
        <v>300000</v>
      </c>
    </row>
    <row r="1456" spans="1:2" x14ac:dyDescent="0.25">
      <c r="A1456" t="s">
        <v>352</v>
      </c>
      <c r="B1456" s="56">
        <v>100000</v>
      </c>
    </row>
    <row r="1457" spans="1:2" x14ac:dyDescent="0.25">
      <c r="A1457" t="s">
        <v>353</v>
      </c>
      <c r="B1457" s="56">
        <v>200000</v>
      </c>
    </row>
    <row r="1458" spans="1:2" x14ac:dyDescent="0.25">
      <c r="A1458" t="s">
        <v>354</v>
      </c>
      <c r="B1458" s="56">
        <v>300000</v>
      </c>
    </row>
    <row r="1459" spans="1:2" x14ac:dyDescent="0.25">
      <c r="A1459" t="s">
        <v>352</v>
      </c>
      <c r="B1459" s="56">
        <v>100000</v>
      </c>
    </row>
    <row r="1460" spans="1:2" x14ac:dyDescent="0.25">
      <c r="A1460" t="s">
        <v>353</v>
      </c>
      <c r="B1460" s="56">
        <v>200000</v>
      </c>
    </row>
    <row r="1461" spans="1:2" x14ac:dyDescent="0.25">
      <c r="A1461" t="s">
        <v>354</v>
      </c>
      <c r="B1461" s="56">
        <v>300000</v>
      </c>
    </row>
    <row r="1462" spans="1:2" x14ac:dyDescent="0.25">
      <c r="A1462" t="s">
        <v>352</v>
      </c>
      <c r="B1462" s="56">
        <v>100000</v>
      </c>
    </row>
    <row r="1463" spans="1:2" x14ac:dyDescent="0.25">
      <c r="A1463" t="s">
        <v>353</v>
      </c>
      <c r="B1463" s="56">
        <v>200000</v>
      </c>
    </row>
    <row r="1464" spans="1:2" x14ac:dyDescent="0.25">
      <c r="A1464" t="s">
        <v>354</v>
      </c>
      <c r="B1464" s="56">
        <v>300000</v>
      </c>
    </row>
    <row r="1465" spans="1:2" x14ac:dyDescent="0.25">
      <c r="A1465" t="s">
        <v>352</v>
      </c>
      <c r="B1465" s="56">
        <v>100000</v>
      </c>
    </row>
    <row r="1466" spans="1:2" x14ac:dyDescent="0.25">
      <c r="A1466" t="s">
        <v>353</v>
      </c>
      <c r="B1466" s="56">
        <v>200000</v>
      </c>
    </row>
    <row r="1467" spans="1:2" x14ac:dyDescent="0.25">
      <c r="A1467" t="s">
        <v>354</v>
      </c>
      <c r="B1467" s="56">
        <v>300000</v>
      </c>
    </row>
    <row r="1468" spans="1:2" x14ac:dyDescent="0.25">
      <c r="A1468" t="s">
        <v>352</v>
      </c>
      <c r="B1468" s="56">
        <v>100000</v>
      </c>
    </row>
    <row r="1469" spans="1:2" x14ac:dyDescent="0.25">
      <c r="A1469" t="s">
        <v>353</v>
      </c>
      <c r="B1469" s="56">
        <v>200000</v>
      </c>
    </row>
    <row r="1470" spans="1:2" x14ac:dyDescent="0.25">
      <c r="A1470" t="s">
        <v>354</v>
      </c>
      <c r="B1470" s="56">
        <v>300000</v>
      </c>
    </row>
    <row r="1471" spans="1:2" x14ac:dyDescent="0.25">
      <c r="A1471" t="s">
        <v>352</v>
      </c>
      <c r="B1471" s="56">
        <v>100000</v>
      </c>
    </row>
    <row r="1472" spans="1:2" x14ac:dyDescent="0.25">
      <c r="A1472" t="s">
        <v>353</v>
      </c>
      <c r="B1472" s="56">
        <v>200000</v>
      </c>
    </row>
    <row r="1473" spans="1:2" x14ac:dyDescent="0.25">
      <c r="A1473" t="s">
        <v>354</v>
      </c>
      <c r="B1473" s="56">
        <v>300000</v>
      </c>
    </row>
    <row r="1474" spans="1:2" x14ac:dyDescent="0.25">
      <c r="A1474" t="s">
        <v>352</v>
      </c>
      <c r="B1474" s="56">
        <v>100000</v>
      </c>
    </row>
    <row r="1475" spans="1:2" x14ac:dyDescent="0.25">
      <c r="A1475" t="s">
        <v>353</v>
      </c>
      <c r="B1475" s="56">
        <v>200000</v>
      </c>
    </row>
    <row r="1476" spans="1:2" x14ac:dyDescent="0.25">
      <c r="A1476" t="s">
        <v>354</v>
      </c>
      <c r="B1476" s="56">
        <v>300000</v>
      </c>
    </row>
    <row r="1477" spans="1:2" x14ac:dyDescent="0.25">
      <c r="A1477" t="s">
        <v>352</v>
      </c>
      <c r="B1477" s="56">
        <v>100000</v>
      </c>
    </row>
    <row r="1478" spans="1:2" x14ac:dyDescent="0.25">
      <c r="A1478" t="s">
        <v>353</v>
      </c>
      <c r="B1478" s="56">
        <v>200000</v>
      </c>
    </row>
    <row r="1479" spans="1:2" x14ac:dyDescent="0.25">
      <c r="A1479" t="s">
        <v>354</v>
      </c>
      <c r="B1479" s="56">
        <v>300000</v>
      </c>
    </row>
    <row r="1480" spans="1:2" x14ac:dyDescent="0.25">
      <c r="A1480" t="s">
        <v>352</v>
      </c>
      <c r="B1480" s="56">
        <v>100000</v>
      </c>
    </row>
    <row r="1481" spans="1:2" x14ac:dyDescent="0.25">
      <c r="A1481" t="s">
        <v>353</v>
      </c>
      <c r="B1481" s="56">
        <v>200000</v>
      </c>
    </row>
    <row r="1482" spans="1:2" x14ac:dyDescent="0.25">
      <c r="A1482" t="s">
        <v>354</v>
      </c>
      <c r="B1482" s="56">
        <v>300000</v>
      </c>
    </row>
    <row r="1483" spans="1:2" x14ac:dyDescent="0.25">
      <c r="A1483" t="s">
        <v>352</v>
      </c>
      <c r="B1483" s="56">
        <v>100000</v>
      </c>
    </row>
    <row r="1484" spans="1:2" x14ac:dyDescent="0.25">
      <c r="A1484" t="s">
        <v>353</v>
      </c>
      <c r="B1484" s="56">
        <v>200000</v>
      </c>
    </row>
    <row r="1485" spans="1:2" x14ac:dyDescent="0.25">
      <c r="A1485" t="s">
        <v>354</v>
      </c>
      <c r="B1485" s="56">
        <v>300000</v>
      </c>
    </row>
    <row r="1486" spans="1:2" x14ac:dyDescent="0.25">
      <c r="A1486" t="s">
        <v>352</v>
      </c>
      <c r="B1486" s="56">
        <v>100000</v>
      </c>
    </row>
    <row r="1487" spans="1:2" x14ac:dyDescent="0.25">
      <c r="A1487" t="s">
        <v>353</v>
      </c>
      <c r="B1487" s="56">
        <v>200000</v>
      </c>
    </row>
    <row r="1488" spans="1:2" x14ac:dyDescent="0.25">
      <c r="A1488" t="s">
        <v>354</v>
      </c>
      <c r="B1488" s="56">
        <v>300000</v>
      </c>
    </row>
    <row r="1489" spans="1:2" x14ac:dyDescent="0.25">
      <c r="A1489" t="s">
        <v>352</v>
      </c>
      <c r="B1489" s="56">
        <v>100000</v>
      </c>
    </row>
    <row r="1490" spans="1:2" x14ac:dyDescent="0.25">
      <c r="A1490" t="s">
        <v>353</v>
      </c>
      <c r="B1490" s="56">
        <v>200000</v>
      </c>
    </row>
    <row r="1491" spans="1:2" x14ac:dyDescent="0.25">
      <c r="A1491" t="s">
        <v>354</v>
      </c>
      <c r="B1491" s="56">
        <v>300000</v>
      </c>
    </row>
    <row r="1492" spans="1:2" x14ac:dyDescent="0.25">
      <c r="A1492" t="s">
        <v>352</v>
      </c>
      <c r="B1492" s="56">
        <v>100000</v>
      </c>
    </row>
    <row r="1493" spans="1:2" x14ac:dyDescent="0.25">
      <c r="A1493" t="s">
        <v>353</v>
      </c>
      <c r="B1493" s="56">
        <v>200000</v>
      </c>
    </row>
    <row r="1494" spans="1:2" x14ac:dyDescent="0.25">
      <c r="A1494" t="s">
        <v>354</v>
      </c>
      <c r="B1494" s="56">
        <v>300000</v>
      </c>
    </row>
    <row r="1495" spans="1:2" x14ac:dyDescent="0.25">
      <c r="A1495" t="s">
        <v>352</v>
      </c>
      <c r="B1495" s="56">
        <v>100000</v>
      </c>
    </row>
    <row r="1496" spans="1:2" x14ac:dyDescent="0.25">
      <c r="A1496" t="s">
        <v>353</v>
      </c>
      <c r="B1496" s="56">
        <v>200000</v>
      </c>
    </row>
    <row r="1497" spans="1:2" x14ac:dyDescent="0.25">
      <c r="A1497" t="s">
        <v>354</v>
      </c>
      <c r="B1497" s="56">
        <v>300000</v>
      </c>
    </row>
    <row r="1498" spans="1:2" x14ac:dyDescent="0.25">
      <c r="A1498" t="s">
        <v>352</v>
      </c>
      <c r="B1498" s="56">
        <v>100000</v>
      </c>
    </row>
    <row r="1499" spans="1:2" x14ac:dyDescent="0.25">
      <c r="A1499" t="s">
        <v>353</v>
      </c>
      <c r="B1499" s="56">
        <v>200000</v>
      </c>
    </row>
    <row r="1500" spans="1:2" x14ac:dyDescent="0.25">
      <c r="A1500" t="s">
        <v>354</v>
      </c>
      <c r="B1500" s="56">
        <v>300000</v>
      </c>
    </row>
    <row r="1501" spans="1:2" x14ac:dyDescent="0.25">
      <c r="A1501" t="s">
        <v>352</v>
      </c>
      <c r="B1501" s="56">
        <v>100000</v>
      </c>
    </row>
    <row r="1502" spans="1:2" x14ac:dyDescent="0.25">
      <c r="A1502" t="s">
        <v>353</v>
      </c>
      <c r="B1502" s="56">
        <v>200000</v>
      </c>
    </row>
    <row r="1503" spans="1:2" x14ac:dyDescent="0.25">
      <c r="A1503" t="s">
        <v>354</v>
      </c>
      <c r="B1503" s="56">
        <v>300000</v>
      </c>
    </row>
    <row r="1504" spans="1:2" x14ac:dyDescent="0.25">
      <c r="A1504" t="s">
        <v>352</v>
      </c>
      <c r="B1504" s="56">
        <v>100000</v>
      </c>
    </row>
    <row r="1505" spans="1:2" x14ac:dyDescent="0.25">
      <c r="A1505" t="s">
        <v>353</v>
      </c>
      <c r="B1505" s="56">
        <v>200000</v>
      </c>
    </row>
    <row r="1506" spans="1:2" x14ac:dyDescent="0.25">
      <c r="A1506" t="s">
        <v>354</v>
      </c>
      <c r="B1506" s="56">
        <v>300000</v>
      </c>
    </row>
    <row r="1507" spans="1:2" x14ac:dyDescent="0.25">
      <c r="A1507" t="s">
        <v>352</v>
      </c>
      <c r="B1507" s="56">
        <v>100000</v>
      </c>
    </row>
    <row r="1508" spans="1:2" x14ac:dyDescent="0.25">
      <c r="A1508" t="s">
        <v>353</v>
      </c>
      <c r="B1508" s="56">
        <v>200000</v>
      </c>
    </row>
    <row r="1509" spans="1:2" x14ac:dyDescent="0.25">
      <c r="A1509" t="s">
        <v>354</v>
      </c>
      <c r="B1509" s="56">
        <v>300000</v>
      </c>
    </row>
    <row r="1510" spans="1:2" x14ac:dyDescent="0.25">
      <c r="A1510" t="s">
        <v>352</v>
      </c>
      <c r="B1510" s="56">
        <v>100000</v>
      </c>
    </row>
    <row r="1511" spans="1:2" x14ac:dyDescent="0.25">
      <c r="A1511" t="s">
        <v>353</v>
      </c>
      <c r="B1511" s="56">
        <v>200000</v>
      </c>
    </row>
    <row r="1512" spans="1:2" x14ac:dyDescent="0.25">
      <c r="A1512" t="s">
        <v>354</v>
      </c>
      <c r="B1512" s="56">
        <v>300000</v>
      </c>
    </row>
    <row r="1513" spans="1:2" x14ac:dyDescent="0.25">
      <c r="A1513" t="s">
        <v>352</v>
      </c>
      <c r="B1513" s="56">
        <v>100000</v>
      </c>
    </row>
    <row r="1514" spans="1:2" x14ac:dyDescent="0.25">
      <c r="A1514" t="s">
        <v>353</v>
      </c>
      <c r="B1514" s="56">
        <v>200000</v>
      </c>
    </row>
    <row r="1515" spans="1:2" x14ac:dyDescent="0.25">
      <c r="A1515" t="s">
        <v>354</v>
      </c>
      <c r="B1515" s="56">
        <v>300000</v>
      </c>
    </row>
    <row r="1516" spans="1:2" x14ac:dyDescent="0.25">
      <c r="A1516" t="s">
        <v>352</v>
      </c>
      <c r="B1516" s="56">
        <v>100000</v>
      </c>
    </row>
    <row r="1517" spans="1:2" x14ac:dyDescent="0.25">
      <c r="A1517" t="s">
        <v>353</v>
      </c>
      <c r="B1517" s="56">
        <v>200000</v>
      </c>
    </row>
    <row r="1518" spans="1:2" x14ac:dyDescent="0.25">
      <c r="A1518" t="s">
        <v>354</v>
      </c>
      <c r="B1518" s="56">
        <v>300000</v>
      </c>
    </row>
    <row r="1519" spans="1:2" x14ac:dyDescent="0.25">
      <c r="A1519" t="s">
        <v>352</v>
      </c>
      <c r="B1519" s="56">
        <v>100000</v>
      </c>
    </row>
    <row r="1520" spans="1:2" x14ac:dyDescent="0.25">
      <c r="A1520" t="s">
        <v>353</v>
      </c>
      <c r="B1520" s="56">
        <v>200000</v>
      </c>
    </row>
    <row r="1521" spans="1:2" x14ac:dyDescent="0.25">
      <c r="A1521" t="s">
        <v>354</v>
      </c>
      <c r="B1521" s="56">
        <v>300000</v>
      </c>
    </row>
    <row r="1522" spans="1:2" x14ac:dyDescent="0.25">
      <c r="A1522" t="s">
        <v>352</v>
      </c>
      <c r="B1522" s="56">
        <v>100000</v>
      </c>
    </row>
    <row r="1523" spans="1:2" x14ac:dyDescent="0.25">
      <c r="A1523" t="s">
        <v>353</v>
      </c>
      <c r="B1523" s="56">
        <v>200000</v>
      </c>
    </row>
    <row r="1524" spans="1:2" x14ac:dyDescent="0.25">
      <c r="A1524" t="s">
        <v>354</v>
      </c>
      <c r="B1524" s="56">
        <v>300000</v>
      </c>
    </row>
    <row r="1525" spans="1:2" x14ac:dyDescent="0.25">
      <c r="A1525" t="s">
        <v>352</v>
      </c>
      <c r="B1525" s="56">
        <v>100000</v>
      </c>
    </row>
    <row r="1526" spans="1:2" x14ac:dyDescent="0.25">
      <c r="A1526" t="s">
        <v>353</v>
      </c>
      <c r="B1526" s="56">
        <v>200000</v>
      </c>
    </row>
    <row r="1527" spans="1:2" x14ac:dyDescent="0.25">
      <c r="A1527" t="s">
        <v>354</v>
      </c>
      <c r="B1527" s="56">
        <v>300000</v>
      </c>
    </row>
    <row r="1528" spans="1:2" x14ac:dyDescent="0.25">
      <c r="A1528" t="s">
        <v>352</v>
      </c>
      <c r="B1528" s="56">
        <v>100000</v>
      </c>
    </row>
    <row r="1529" spans="1:2" x14ac:dyDescent="0.25">
      <c r="A1529" t="s">
        <v>353</v>
      </c>
      <c r="B1529" s="56">
        <v>200000</v>
      </c>
    </row>
    <row r="1530" spans="1:2" x14ac:dyDescent="0.25">
      <c r="A1530" t="s">
        <v>354</v>
      </c>
      <c r="B1530" s="56">
        <v>300000</v>
      </c>
    </row>
    <row r="1531" spans="1:2" x14ac:dyDescent="0.25">
      <c r="A1531" t="s">
        <v>352</v>
      </c>
      <c r="B1531" s="56">
        <v>100000</v>
      </c>
    </row>
    <row r="1532" spans="1:2" x14ac:dyDescent="0.25">
      <c r="A1532" t="s">
        <v>353</v>
      </c>
      <c r="B1532" s="56">
        <v>200000</v>
      </c>
    </row>
    <row r="1533" spans="1:2" x14ac:dyDescent="0.25">
      <c r="A1533" t="s">
        <v>354</v>
      </c>
      <c r="B1533" s="56">
        <v>300000</v>
      </c>
    </row>
    <row r="1534" spans="1:2" x14ac:dyDescent="0.25">
      <c r="A1534" t="s">
        <v>352</v>
      </c>
      <c r="B1534" s="56">
        <v>100000</v>
      </c>
    </row>
    <row r="1535" spans="1:2" x14ac:dyDescent="0.25">
      <c r="A1535" t="s">
        <v>353</v>
      </c>
      <c r="B1535" s="56">
        <v>200000</v>
      </c>
    </row>
    <row r="1536" spans="1:2" x14ac:dyDescent="0.25">
      <c r="A1536" t="s">
        <v>354</v>
      </c>
      <c r="B1536" s="56">
        <v>300000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6"/>
  <sheetViews>
    <sheetView zoomScale="130" zoomScaleNormal="130" workbookViewId="0"/>
  </sheetViews>
  <sheetFormatPr baseColWidth="10" defaultRowHeight="15" x14ac:dyDescent="0.25"/>
  <cols>
    <col min="8" max="8" width="17.5703125" bestFit="1" customWidth="1"/>
  </cols>
  <sheetData>
    <row r="1" spans="1:25" x14ac:dyDescent="0.25">
      <c r="A1" t="s">
        <v>284</v>
      </c>
      <c r="C1">
        <v>3</v>
      </c>
      <c r="D1">
        <v>4</v>
      </c>
      <c r="E1">
        <v>5</v>
      </c>
      <c r="S1" s="1" t="s">
        <v>299</v>
      </c>
      <c r="T1" t="s">
        <v>300</v>
      </c>
      <c r="V1" s="59">
        <v>900000</v>
      </c>
    </row>
    <row r="2" spans="1:25" x14ac:dyDescent="0.25">
      <c r="A2" s="1" t="s">
        <v>281</v>
      </c>
      <c r="C2" s="57">
        <v>41639</v>
      </c>
      <c r="D2" s="57">
        <v>42004</v>
      </c>
      <c r="E2" s="57">
        <v>42369</v>
      </c>
      <c r="I2" s="57">
        <v>41639</v>
      </c>
      <c r="J2" s="57">
        <v>41639</v>
      </c>
      <c r="K2" s="57">
        <v>42004</v>
      </c>
      <c r="L2" s="57">
        <v>42004</v>
      </c>
      <c r="M2" s="61">
        <v>42369</v>
      </c>
      <c r="N2" s="61">
        <v>42369</v>
      </c>
    </row>
    <row r="3" spans="1:25" x14ac:dyDescent="0.25">
      <c r="A3" t="s">
        <v>282</v>
      </c>
      <c r="C3" s="56">
        <v>100000</v>
      </c>
      <c r="D3" s="56">
        <v>100000</v>
      </c>
      <c r="E3" s="56">
        <v>100000</v>
      </c>
      <c r="I3" s="60" t="s">
        <v>57</v>
      </c>
      <c r="J3" s="60" t="s">
        <v>58</v>
      </c>
      <c r="K3" s="60" t="s">
        <v>57</v>
      </c>
      <c r="L3" s="60" t="s">
        <v>58</v>
      </c>
      <c r="M3" s="62" t="s">
        <v>57</v>
      </c>
      <c r="N3" s="62" t="s">
        <v>58</v>
      </c>
      <c r="S3" t="s">
        <v>301</v>
      </c>
      <c r="V3" s="56">
        <f>+V1</f>
        <v>900000</v>
      </c>
      <c r="X3">
        <f>+V12</f>
        <v>750000</v>
      </c>
    </row>
    <row r="4" spans="1:25" x14ac:dyDescent="0.25">
      <c r="C4" s="56"/>
      <c r="D4" s="56"/>
      <c r="E4" s="56"/>
      <c r="I4" s="60"/>
      <c r="J4" s="60"/>
      <c r="K4" s="60"/>
      <c r="L4" s="60"/>
      <c r="M4" s="62"/>
      <c r="N4" s="62"/>
      <c r="S4" t="s">
        <v>307</v>
      </c>
      <c r="V4" s="56"/>
      <c r="X4" s="56">
        <f>+Y5-X3</f>
        <v>150000</v>
      </c>
    </row>
    <row r="5" spans="1:25" x14ac:dyDescent="0.25">
      <c r="A5" t="s">
        <v>283</v>
      </c>
      <c r="C5">
        <f>$B$7*C3*C1</f>
        <v>30000</v>
      </c>
      <c r="D5">
        <f>$B$7*D3*D1</f>
        <v>40000</v>
      </c>
      <c r="E5">
        <f>$B$7*E3*E1</f>
        <v>50000</v>
      </c>
      <c r="H5" t="s">
        <v>289</v>
      </c>
      <c r="J5" s="56">
        <f>+C16</f>
        <v>15000</v>
      </c>
      <c r="L5" s="56">
        <f>+D16</f>
        <v>20000</v>
      </c>
      <c r="M5" s="63"/>
      <c r="N5" s="64">
        <f>+E16</f>
        <v>25000</v>
      </c>
      <c r="S5" t="s">
        <v>302</v>
      </c>
      <c r="W5" s="56">
        <f>+V3</f>
        <v>900000</v>
      </c>
      <c r="Y5" s="56">
        <f>+W5</f>
        <v>900000</v>
      </c>
    </row>
    <row r="6" spans="1:25" x14ac:dyDescent="0.25">
      <c r="A6" s="1" t="s">
        <v>286</v>
      </c>
      <c r="B6" s="1"/>
      <c r="C6" s="59">
        <f>+C3-C5</f>
        <v>70000</v>
      </c>
      <c r="D6" s="59">
        <f t="shared" ref="D6:E6" si="0">+D3-D5</f>
        <v>60000</v>
      </c>
      <c r="E6" s="59">
        <f t="shared" si="0"/>
        <v>50000</v>
      </c>
      <c r="F6" s="1" t="s">
        <v>287</v>
      </c>
      <c r="H6" t="s">
        <v>290</v>
      </c>
      <c r="K6" s="56">
        <f>(D12-C12)-(D5-C5)</f>
        <v>5000</v>
      </c>
      <c r="M6" s="64">
        <f>+(E12-D12)-(E5-D5)</f>
        <v>5000</v>
      </c>
      <c r="N6" s="63"/>
    </row>
    <row r="7" spans="1:25" x14ac:dyDescent="0.25">
      <c r="A7" t="s">
        <v>285</v>
      </c>
      <c r="B7" s="58">
        <v>0.1</v>
      </c>
      <c r="H7" t="s">
        <v>291</v>
      </c>
      <c r="I7" s="56">
        <f>+J5</f>
        <v>15000</v>
      </c>
      <c r="K7" s="56">
        <f>+L5-K6</f>
        <v>15000</v>
      </c>
      <c r="M7" s="64">
        <f>+N5-M6</f>
        <v>20000</v>
      </c>
      <c r="N7" s="63"/>
      <c r="S7" t="s">
        <v>303</v>
      </c>
      <c r="V7" s="56">
        <v>1200000</v>
      </c>
    </row>
    <row r="8" spans="1:25" x14ac:dyDescent="0.25">
      <c r="S8" t="s">
        <v>304</v>
      </c>
      <c r="V8" s="56">
        <v>1000000</v>
      </c>
    </row>
    <row r="9" spans="1:25" x14ac:dyDescent="0.25">
      <c r="A9" t="s">
        <v>284</v>
      </c>
      <c r="C9">
        <v>3</v>
      </c>
      <c r="D9">
        <v>4</v>
      </c>
      <c r="E9">
        <v>5</v>
      </c>
      <c r="I9" s="60" t="s">
        <v>293</v>
      </c>
      <c r="J9" s="60" t="s">
        <v>294</v>
      </c>
      <c r="K9" s="60" t="s">
        <v>295</v>
      </c>
      <c r="M9" s="60" t="s">
        <v>293</v>
      </c>
      <c r="N9" s="60" t="s">
        <v>294</v>
      </c>
      <c r="O9" s="60" t="s">
        <v>295</v>
      </c>
    </row>
    <row r="10" spans="1:25" x14ac:dyDescent="0.25">
      <c r="A10" s="1" t="s">
        <v>281</v>
      </c>
      <c r="C10" s="57">
        <v>41639</v>
      </c>
      <c r="D10" s="57">
        <v>42004</v>
      </c>
      <c r="E10" s="57">
        <v>42369</v>
      </c>
      <c r="H10" s="1" t="s">
        <v>292</v>
      </c>
      <c r="I10" s="59">
        <v>100000</v>
      </c>
      <c r="J10" s="59">
        <v>120000</v>
      </c>
      <c r="K10" s="59">
        <f>+I10+J10</f>
        <v>220000</v>
      </c>
      <c r="L10" s="1"/>
      <c r="M10" s="59">
        <v>100000</v>
      </c>
      <c r="N10" s="59">
        <f>+J10-I7</f>
        <v>105000</v>
      </c>
      <c r="O10" s="59">
        <f>+M10+N10</f>
        <v>205000</v>
      </c>
      <c r="S10" t="s">
        <v>305</v>
      </c>
      <c r="V10">
        <f>V1/V7</f>
        <v>0.75</v>
      </c>
    </row>
    <row r="11" spans="1:25" x14ac:dyDescent="0.25">
      <c r="A11" t="s">
        <v>282</v>
      </c>
      <c r="C11" s="56">
        <v>100000</v>
      </c>
      <c r="D11" s="56">
        <v>100000</v>
      </c>
      <c r="E11" s="56">
        <v>100000</v>
      </c>
      <c r="H11" t="s">
        <v>297</v>
      </c>
      <c r="I11">
        <v>0</v>
      </c>
      <c r="J11" s="56">
        <v>50000</v>
      </c>
      <c r="K11" s="56">
        <f>+I11+J11</f>
        <v>50000</v>
      </c>
      <c r="M11">
        <v>0</v>
      </c>
      <c r="N11" s="56">
        <f>+J11-K6</f>
        <v>45000</v>
      </c>
      <c r="O11" s="56">
        <f>+M11+N11</f>
        <v>45000</v>
      </c>
    </row>
    <row r="12" spans="1:25" x14ac:dyDescent="0.25">
      <c r="A12" t="s">
        <v>283</v>
      </c>
      <c r="C12" s="56">
        <f>$B$14*C11*C9</f>
        <v>45000</v>
      </c>
      <c r="D12" s="56">
        <f t="shared" ref="D12:E12" si="1">$B$14*D11*D9</f>
        <v>60000</v>
      </c>
      <c r="E12" s="56">
        <f t="shared" si="1"/>
        <v>75000</v>
      </c>
      <c r="H12" s="1" t="s">
        <v>296</v>
      </c>
      <c r="I12" s="1">
        <f>SUM(I10:I11)</f>
        <v>100000</v>
      </c>
      <c r="J12" s="1">
        <f t="shared" ref="J12:K12" si="2">SUM(J10:J11)</f>
        <v>170000</v>
      </c>
      <c r="K12" s="1">
        <f t="shared" si="2"/>
        <v>270000</v>
      </c>
      <c r="L12" s="1"/>
      <c r="M12" s="1">
        <f>SUM(M10:M11)</f>
        <v>100000</v>
      </c>
      <c r="N12" s="1">
        <f t="shared" ref="N12" si="3">SUM(N10:N11)</f>
        <v>150000</v>
      </c>
      <c r="O12" s="1">
        <f t="shared" ref="O12" si="4">SUM(O10:O11)</f>
        <v>250000</v>
      </c>
      <c r="S12" t="s">
        <v>306</v>
      </c>
      <c r="V12" s="1">
        <f>+V10*V8</f>
        <v>750000</v>
      </c>
    </row>
    <row r="13" spans="1:25" x14ac:dyDescent="0.25">
      <c r="A13" s="1" t="s">
        <v>286</v>
      </c>
      <c r="B13" s="1"/>
      <c r="C13" s="59">
        <f>+C11-C12</f>
        <v>55000</v>
      </c>
      <c r="D13" s="59">
        <f t="shared" ref="D13" si="5">+D11-D12</f>
        <v>40000</v>
      </c>
      <c r="E13" s="59">
        <f t="shared" ref="E13" si="6">+E11-E12</f>
        <v>25000</v>
      </c>
      <c r="F13" s="1" t="s">
        <v>50</v>
      </c>
      <c r="H13" t="s">
        <v>297</v>
      </c>
      <c r="I13">
        <v>0</v>
      </c>
      <c r="J13" s="56">
        <v>80000</v>
      </c>
      <c r="K13" s="56">
        <f>+I13+J13</f>
        <v>80000</v>
      </c>
      <c r="M13">
        <v>0</v>
      </c>
      <c r="N13" s="56">
        <v>80000</v>
      </c>
      <c r="O13" s="56">
        <f>+M13+N13</f>
        <v>80000</v>
      </c>
    </row>
    <row r="14" spans="1:25" x14ac:dyDescent="0.25">
      <c r="A14" t="s">
        <v>285</v>
      </c>
      <c r="B14" s="58">
        <v>0.15</v>
      </c>
      <c r="H14" t="s">
        <v>298</v>
      </c>
      <c r="I14">
        <v>0</v>
      </c>
      <c r="J14" s="59">
        <f>-M7</f>
        <v>-20000</v>
      </c>
      <c r="K14" s="56">
        <f>+I14+J14</f>
        <v>-20000</v>
      </c>
      <c r="N14" s="56"/>
      <c r="O14" s="56"/>
    </row>
    <row r="15" spans="1:25" x14ac:dyDescent="0.25">
      <c r="H15" s="1" t="s">
        <v>296</v>
      </c>
      <c r="I15" s="1">
        <f>SUM(I12:I14)</f>
        <v>100000</v>
      </c>
      <c r="J15" s="1">
        <f t="shared" ref="J15:K15" si="7">SUM(J12:J14)</f>
        <v>230000</v>
      </c>
      <c r="K15" s="1">
        <f t="shared" si="7"/>
        <v>330000</v>
      </c>
      <c r="L15" s="1"/>
      <c r="M15" s="1">
        <f>SUM(M12:M14)</f>
        <v>100000</v>
      </c>
      <c r="N15" s="1">
        <f t="shared" ref="N15" si="8">SUM(N12:N14)</f>
        <v>230000</v>
      </c>
      <c r="O15" s="1">
        <f t="shared" ref="O15" si="9">SUM(O12:O14)</f>
        <v>330000</v>
      </c>
    </row>
    <row r="16" spans="1:25" x14ac:dyDescent="0.25">
      <c r="A16" s="1" t="s">
        <v>288</v>
      </c>
      <c r="C16" s="59">
        <f>+C6-C13</f>
        <v>15000</v>
      </c>
      <c r="D16" s="59">
        <f t="shared" ref="D16:E16" si="10">+D6-D13</f>
        <v>20000</v>
      </c>
      <c r="E16" s="59">
        <f t="shared" si="10"/>
        <v>25000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zoomScale="160" zoomScaleNormal="160"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5"/>
  <sheetViews>
    <sheetView zoomScale="90" zoomScaleNormal="90" zoomScaleSheetLayoutView="100" workbookViewId="0">
      <pane xSplit="1" ySplit="14" topLeftCell="B15" activePane="bottomRight" state="frozen"/>
      <selection pane="topRight" activeCell="B1" sqref="B1"/>
      <selection pane="bottomLeft" activeCell="A11" sqref="A11"/>
      <selection pane="bottomRight" activeCell="K1" sqref="K1"/>
    </sheetView>
  </sheetViews>
  <sheetFormatPr baseColWidth="10" defaultRowHeight="15" x14ac:dyDescent="0.25"/>
  <cols>
    <col min="2" max="2" width="9.42578125" customWidth="1"/>
    <col min="6" max="6" width="6.42578125" customWidth="1"/>
    <col min="7" max="7" width="2.85546875" customWidth="1"/>
    <col min="8" max="8" width="10.28515625" customWidth="1"/>
    <col min="9" max="9" width="0.7109375" customWidth="1"/>
    <col min="10" max="10" width="12.140625" customWidth="1"/>
    <col min="11" max="11" width="9.5703125" customWidth="1"/>
    <col min="12" max="12" width="16.7109375" customWidth="1"/>
    <col min="13" max="13" width="19.140625" customWidth="1"/>
    <col min="14" max="14" width="15.28515625" customWidth="1"/>
    <col min="15" max="15" width="16.140625" customWidth="1"/>
  </cols>
  <sheetData>
    <row r="1" spans="1:20" s="116" customFormat="1" ht="51" x14ac:dyDescent="0.75">
      <c r="A1" s="401" t="s">
        <v>413</v>
      </c>
      <c r="B1" s="402"/>
      <c r="C1" s="402"/>
      <c r="D1" s="402"/>
      <c r="E1" s="402"/>
      <c r="F1" s="402"/>
      <c r="G1" s="402"/>
      <c r="H1" s="402"/>
      <c r="I1" s="402"/>
      <c r="J1" s="403"/>
      <c r="K1" s="402"/>
      <c r="L1" s="402"/>
      <c r="M1" s="402"/>
      <c r="N1" s="402"/>
      <c r="O1" s="402"/>
      <c r="P1" s="123"/>
      <c r="Q1" s="123"/>
      <c r="R1" s="123"/>
      <c r="S1" s="123"/>
      <c r="T1" s="123"/>
    </row>
    <row r="2" spans="1:20" s="116" customFormat="1" ht="51" x14ac:dyDescent="0.75">
      <c r="A2" s="401" t="s">
        <v>298</v>
      </c>
      <c r="B2" s="402"/>
      <c r="C2" s="402"/>
      <c r="D2" s="402"/>
      <c r="E2" s="402"/>
      <c r="F2" s="402"/>
      <c r="G2" s="402"/>
      <c r="H2" s="402"/>
      <c r="I2" s="402"/>
      <c r="J2" s="404"/>
      <c r="K2" s="402"/>
      <c r="L2" s="402"/>
      <c r="M2" s="402"/>
      <c r="N2" s="402"/>
      <c r="O2" s="402"/>
      <c r="P2" s="123"/>
      <c r="Q2" s="123"/>
      <c r="R2" s="123"/>
      <c r="S2" s="123"/>
      <c r="T2" s="123"/>
    </row>
    <row r="3" spans="1:20" s="116" customFormat="1" ht="51" x14ac:dyDescent="0.75">
      <c r="A3" s="401" t="s">
        <v>414</v>
      </c>
      <c r="B3" s="402"/>
      <c r="C3" s="402"/>
      <c r="D3" s="402"/>
      <c r="E3" s="402"/>
      <c r="F3" s="402"/>
      <c r="G3" s="402"/>
      <c r="H3" s="402"/>
      <c r="I3" s="402"/>
      <c r="J3" s="402"/>
      <c r="K3" s="402"/>
      <c r="L3" s="402"/>
      <c r="M3" s="402"/>
      <c r="N3" s="402"/>
      <c r="O3" s="402"/>
      <c r="P3" s="123"/>
      <c r="Q3" s="123"/>
      <c r="R3" s="123"/>
      <c r="S3" s="123"/>
      <c r="T3" s="123"/>
    </row>
    <row r="4" spans="1:20" s="116" customFormat="1" ht="51" x14ac:dyDescent="0.75">
      <c r="A4" s="401" t="s">
        <v>415</v>
      </c>
      <c r="B4" s="402"/>
      <c r="C4" s="402"/>
      <c r="D4" s="402"/>
      <c r="E4" s="402"/>
      <c r="F4" s="402"/>
      <c r="G4" s="402"/>
      <c r="H4" s="402"/>
      <c r="I4" s="402"/>
      <c r="J4" s="402"/>
      <c r="K4" s="402"/>
      <c r="L4" s="402"/>
      <c r="M4" s="402"/>
      <c r="N4" s="402"/>
      <c r="O4" s="402"/>
      <c r="P4" s="123"/>
      <c r="Q4" s="123"/>
      <c r="R4" s="123"/>
      <c r="S4" s="123"/>
      <c r="T4" s="123"/>
    </row>
    <row r="5" spans="1:20" ht="32.25" x14ac:dyDescent="0.5">
      <c r="A5" s="117" t="s">
        <v>273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123"/>
      <c r="Q5" s="123"/>
      <c r="R5" s="123"/>
      <c r="S5" s="123"/>
      <c r="T5" s="123"/>
    </row>
    <row r="6" spans="1:20" s="119" customFormat="1" ht="6.75" hidden="1" customHeight="1" x14ac:dyDescent="0.35">
      <c r="A6" s="118" t="s">
        <v>355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23"/>
      <c r="Q6" s="123"/>
      <c r="R6" s="123"/>
      <c r="S6" s="123"/>
      <c r="T6" s="123"/>
    </row>
    <row r="7" spans="1:20" s="119" customFormat="1" ht="22.5" hidden="1" x14ac:dyDescent="0.35">
      <c r="A7" s="118" t="s">
        <v>356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23"/>
      <c r="Q7" s="123"/>
      <c r="R7" s="123"/>
      <c r="S7" s="123"/>
      <c r="T7" s="123"/>
    </row>
    <row r="8" spans="1:20" s="119" customFormat="1" ht="22.5" hidden="1" x14ac:dyDescent="0.35">
      <c r="A8" s="118"/>
      <c r="B8" s="118" t="s">
        <v>357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23"/>
      <c r="Q8" s="123"/>
      <c r="R8" s="123"/>
      <c r="S8" s="123"/>
      <c r="T8" s="123"/>
    </row>
    <row r="9" spans="1:20" s="119" customFormat="1" ht="22.5" hidden="1" x14ac:dyDescent="0.35">
      <c r="A9" s="118"/>
      <c r="B9" s="118" t="s">
        <v>358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23"/>
      <c r="Q9" s="123"/>
      <c r="R9" s="123"/>
      <c r="S9" s="123"/>
      <c r="T9" s="123"/>
    </row>
    <row r="10" spans="1:20" s="119" customFormat="1" ht="22.5" hidden="1" x14ac:dyDescent="0.35">
      <c r="A10" s="118"/>
      <c r="B10" s="118" t="s">
        <v>359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23"/>
      <c r="Q10" s="123"/>
      <c r="R10" s="123"/>
      <c r="S10" s="123"/>
      <c r="T10" s="123"/>
    </row>
    <row r="11" spans="1:20" s="119" customFormat="1" ht="22.5" hidden="1" x14ac:dyDescent="0.35">
      <c r="A11" s="120"/>
      <c r="B11" s="118" t="s">
        <v>360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23"/>
      <c r="Q11" s="123"/>
      <c r="R11" s="123"/>
      <c r="S11" s="123"/>
      <c r="T11" s="123"/>
    </row>
    <row r="12" spans="1:20" s="119" customFormat="1" ht="22.5" hidden="1" x14ac:dyDescent="0.35">
      <c r="A12" s="118" t="s">
        <v>361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23"/>
      <c r="Q12" s="123"/>
      <c r="R12" s="123"/>
      <c r="S12" s="123"/>
      <c r="T12" s="123"/>
    </row>
    <row r="13" spans="1:20" s="123" customFormat="1" ht="23.25" x14ac:dyDescent="0.35">
      <c r="A13" s="121"/>
      <c r="B13" s="122"/>
      <c r="C13" s="122"/>
      <c r="D13" s="122"/>
      <c r="E13" s="122"/>
      <c r="F13" s="122"/>
      <c r="G13" s="122"/>
      <c r="H13" s="122"/>
      <c r="I13" s="122"/>
      <c r="J13" s="122"/>
      <c r="K13" s="122"/>
      <c r="L13" s="507" t="s">
        <v>372</v>
      </c>
      <c r="M13" s="507"/>
      <c r="N13" s="507"/>
      <c r="O13" s="507"/>
    </row>
    <row r="14" spans="1:20" s="125" customFormat="1" ht="23.25" x14ac:dyDescent="0.35">
      <c r="A14" s="124" t="s">
        <v>49</v>
      </c>
      <c r="B14" s="121" t="s">
        <v>50</v>
      </c>
      <c r="C14" s="121" t="s">
        <v>51</v>
      </c>
      <c r="D14" s="121"/>
      <c r="E14" s="121"/>
      <c r="F14" s="121"/>
      <c r="G14" s="121"/>
      <c r="H14" s="121"/>
      <c r="I14" s="121"/>
      <c r="J14" s="121"/>
      <c r="K14" s="121"/>
      <c r="L14" s="200" t="s">
        <v>0</v>
      </c>
      <c r="M14" s="200" t="s">
        <v>1</v>
      </c>
      <c r="N14" s="200" t="s">
        <v>2</v>
      </c>
      <c r="O14" s="200" t="s">
        <v>3</v>
      </c>
      <c r="P14" s="123"/>
      <c r="Q14" s="123"/>
      <c r="R14" s="123"/>
      <c r="S14" s="123"/>
      <c r="T14" s="123"/>
    </row>
    <row r="15" spans="1:20" s="123" customFormat="1" ht="19.5" x14ac:dyDescent="0.3">
      <c r="A15" s="126">
        <v>1</v>
      </c>
      <c r="B15" s="122" t="s">
        <v>4</v>
      </c>
      <c r="C15" s="122" t="s">
        <v>20</v>
      </c>
      <c r="D15" s="122"/>
      <c r="E15" s="122"/>
      <c r="F15" s="122"/>
      <c r="G15" s="122"/>
      <c r="H15" s="122"/>
      <c r="I15" s="122"/>
      <c r="J15" s="122"/>
      <c r="K15" s="122" t="s">
        <v>418</v>
      </c>
      <c r="L15" s="127"/>
      <c r="M15" s="128"/>
      <c r="N15" s="129"/>
      <c r="O15" s="130" t="s">
        <v>53</v>
      </c>
    </row>
    <row r="16" spans="1:20" s="123" customFormat="1" ht="19.5" x14ac:dyDescent="0.3">
      <c r="A16" s="126">
        <f>+A15+1</f>
        <v>2</v>
      </c>
      <c r="B16" s="122" t="s">
        <v>4</v>
      </c>
      <c r="C16" s="122" t="s">
        <v>21</v>
      </c>
      <c r="D16" s="122"/>
      <c r="E16" s="122"/>
      <c r="F16" s="122"/>
      <c r="G16" s="122"/>
      <c r="H16" s="122"/>
      <c r="I16" s="122"/>
      <c r="J16" s="122"/>
      <c r="K16" s="122" t="s">
        <v>418</v>
      </c>
      <c r="L16" s="127"/>
      <c r="M16" s="128"/>
      <c r="N16" s="129"/>
      <c r="O16" s="130" t="s">
        <v>53</v>
      </c>
    </row>
    <row r="17" spans="1:15" s="123" customFormat="1" ht="19.5" x14ac:dyDescent="0.3">
      <c r="A17" s="126">
        <f t="shared" ref="A17:A45" si="0">+A16+1</f>
        <v>3</v>
      </c>
      <c r="B17" s="122" t="s">
        <v>5</v>
      </c>
      <c r="C17" s="122" t="s">
        <v>24</v>
      </c>
      <c r="D17" s="122"/>
      <c r="E17" s="122"/>
      <c r="F17" s="122"/>
      <c r="G17" s="122"/>
      <c r="H17" s="122"/>
      <c r="I17" s="122"/>
      <c r="J17" s="122"/>
      <c r="K17" s="122" t="s">
        <v>418</v>
      </c>
      <c r="L17" s="127"/>
      <c r="M17" s="128"/>
      <c r="N17" s="129" t="s">
        <v>53</v>
      </c>
      <c r="O17" s="130"/>
    </row>
    <row r="18" spans="1:15" s="123" customFormat="1" ht="19.5" x14ac:dyDescent="0.3">
      <c r="A18" s="126">
        <f t="shared" si="0"/>
        <v>4</v>
      </c>
      <c r="B18" s="122" t="s">
        <v>5</v>
      </c>
      <c r="C18" s="122" t="s">
        <v>362</v>
      </c>
      <c r="D18" s="122"/>
      <c r="E18" s="122"/>
      <c r="F18" s="122"/>
      <c r="G18" s="122"/>
      <c r="H18" s="122"/>
      <c r="I18" s="122"/>
      <c r="J18" s="122"/>
      <c r="K18" s="122" t="s">
        <v>418</v>
      </c>
      <c r="L18" s="127"/>
      <c r="M18" s="128"/>
      <c r="N18" s="129" t="s">
        <v>53</v>
      </c>
      <c r="O18" s="130"/>
    </row>
    <row r="19" spans="1:15" s="123" customFormat="1" ht="19.5" x14ac:dyDescent="0.3">
      <c r="A19" s="126">
        <f t="shared" si="0"/>
        <v>5</v>
      </c>
      <c r="B19" s="122" t="s">
        <v>373</v>
      </c>
      <c r="C19" s="122" t="s">
        <v>374</v>
      </c>
      <c r="D19" s="122"/>
      <c r="E19" s="122"/>
      <c r="F19" s="122"/>
      <c r="G19" s="122"/>
      <c r="H19" s="122"/>
      <c r="I19" s="122"/>
      <c r="J19" s="122"/>
      <c r="K19" s="122" t="s">
        <v>418</v>
      </c>
      <c r="L19" s="127"/>
      <c r="M19" s="128"/>
      <c r="N19" s="129" t="s">
        <v>53</v>
      </c>
      <c r="O19" s="130"/>
    </row>
    <row r="20" spans="1:15" s="123" customFormat="1" ht="19.5" x14ac:dyDescent="0.3">
      <c r="A20" s="126">
        <f t="shared" si="0"/>
        <v>6</v>
      </c>
      <c r="B20" s="122" t="s">
        <v>8</v>
      </c>
      <c r="C20" s="122" t="s">
        <v>363</v>
      </c>
      <c r="D20" s="122"/>
      <c r="E20" s="122"/>
      <c r="F20" s="122"/>
      <c r="G20" s="122"/>
      <c r="H20" s="122"/>
      <c r="I20" s="122"/>
      <c r="J20" s="122"/>
      <c r="K20" s="122" t="s">
        <v>418</v>
      </c>
      <c r="L20" s="127"/>
      <c r="M20" s="128"/>
      <c r="N20" s="129" t="s">
        <v>53</v>
      </c>
      <c r="O20" s="130"/>
    </row>
    <row r="21" spans="1:15" s="123" customFormat="1" ht="19.5" x14ac:dyDescent="0.3">
      <c r="A21" s="126">
        <f t="shared" si="0"/>
        <v>7</v>
      </c>
      <c r="B21" s="122" t="s">
        <v>8</v>
      </c>
      <c r="C21" s="122" t="s">
        <v>364</v>
      </c>
      <c r="D21" s="122"/>
      <c r="E21" s="122"/>
      <c r="F21" s="122"/>
      <c r="G21" s="122"/>
      <c r="H21" s="122"/>
      <c r="I21" s="122"/>
      <c r="J21" s="122"/>
      <c r="K21" s="122" t="s">
        <v>418</v>
      </c>
      <c r="L21" s="127"/>
      <c r="M21" s="128"/>
      <c r="N21" s="129" t="s">
        <v>53</v>
      </c>
      <c r="O21" s="130"/>
    </row>
    <row r="22" spans="1:15" s="123" customFormat="1" ht="19.5" x14ac:dyDescent="0.3">
      <c r="A22" s="126">
        <f t="shared" si="0"/>
        <v>8</v>
      </c>
      <c r="B22" s="122" t="s">
        <v>8</v>
      </c>
      <c r="C22" s="122" t="s">
        <v>44</v>
      </c>
      <c r="D22" s="122"/>
      <c r="E22" s="122"/>
      <c r="F22" s="122"/>
      <c r="G22" s="122"/>
      <c r="H22" s="122"/>
      <c r="I22" s="122"/>
      <c r="J22" s="122"/>
      <c r="K22" s="122" t="s">
        <v>418</v>
      </c>
      <c r="L22" s="127"/>
      <c r="M22" s="128"/>
      <c r="N22" s="129" t="s">
        <v>53</v>
      </c>
      <c r="O22" s="130"/>
    </row>
    <row r="23" spans="1:15" ht="19.5" x14ac:dyDescent="0.3">
      <c r="A23" s="126">
        <f t="shared" si="0"/>
        <v>9</v>
      </c>
      <c r="B23" s="122" t="s">
        <v>8</v>
      </c>
      <c r="C23" s="122" t="s">
        <v>45</v>
      </c>
      <c r="D23" s="6"/>
      <c r="E23" s="6"/>
      <c r="F23" s="6"/>
      <c r="G23" s="6"/>
      <c r="H23" s="6"/>
      <c r="I23" s="6"/>
      <c r="J23" s="6"/>
      <c r="K23" s="122" t="s">
        <v>418</v>
      </c>
      <c r="L23" s="2"/>
      <c r="M23" s="3" t="s">
        <v>53</v>
      </c>
      <c r="N23" s="4"/>
      <c r="O23" s="49"/>
    </row>
    <row r="24" spans="1:15" ht="19.5" x14ac:dyDescent="0.3">
      <c r="A24" s="126">
        <f t="shared" si="0"/>
        <v>10</v>
      </c>
      <c r="B24" s="122" t="s">
        <v>8</v>
      </c>
      <c r="C24" s="122" t="s">
        <v>46</v>
      </c>
      <c r="D24" s="6"/>
      <c r="E24" s="6"/>
      <c r="F24" s="6"/>
      <c r="G24" s="6"/>
      <c r="H24" s="6"/>
      <c r="I24" s="6"/>
      <c r="J24" s="6"/>
      <c r="K24" s="122" t="s">
        <v>418</v>
      </c>
      <c r="L24" s="2"/>
      <c r="M24" s="3"/>
      <c r="N24" s="4" t="s">
        <v>53</v>
      </c>
      <c r="O24" s="49"/>
    </row>
    <row r="25" spans="1:15" ht="19.5" x14ac:dyDescent="0.3">
      <c r="A25" s="126">
        <f t="shared" si="0"/>
        <v>11</v>
      </c>
      <c r="B25" s="122" t="s">
        <v>375</v>
      </c>
      <c r="C25" s="122" t="s">
        <v>48</v>
      </c>
      <c r="D25" s="6"/>
      <c r="E25" s="6"/>
      <c r="F25" s="6"/>
      <c r="G25" s="6"/>
      <c r="H25" s="6"/>
      <c r="I25" s="6"/>
      <c r="J25" s="6"/>
      <c r="K25" s="122" t="s">
        <v>418</v>
      </c>
      <c r="L25" s="2"/>
      <c r="M25" s="3"/>
      <c r="N25" s="4" t="s">
        <v>53</v>
      </c>
      <c r="O25" s="49"/>
    </row>
    <row r="26" spans="1:15" ht="19.5" x14ac:dyDescent="0.3">
      <c r="A26" s="126">
        <f t="shared" si="0"/>
        <v>12</v>
      </c>
      <c r="B26" s="122" t="s">
        <v>375</v>
      </c>
      <c r="C26" s="122" t="s">
        <v>47</v>
      </c>
      <c r="D26" s="6"/>
      <c r="E26" s="6"/>
      <c r="F26" s="6"/>
      <c r="G26" s="6"/>
      <c r="H26" s="6"/>
      <c r="I26" s="6"/>
      <c r="J26" s="6"/>
      <c r="K26" s="122" t="s">
        <v>418</v>
      </c>
      <c r="L26" s="2"/>
      <c r="M26" s="3"/>
      <c r="N26" s="4" t="s">
        <v>53</v>
      </c>
      <c r="O26" s="49"/>
    </row>
    <row r="27" spans="1:15" ht="19.5" x14ac:dyDescent="0.3">
      <c r="A27" s="126">
        <f t="shared" si="0"/>
        <v>13</v>
      </c>
      <c r="B27" s="122" t="s">
        <v>373</v>
      </c>
      <c r="C27" s="122" t="s">
        <v>39</v>
      </c>
      <c r="D27" s="6"/>
      <c r="E27" s="6"/>
      <c r="F27" s="6"/>
      <c r="G27" s="6"/>
      <c r="H27" s="6"/>
      <c r="I27" s="6"/>
      <c r="J27" s="6"/>
      <c r="K27" s="122" t="s">
        <v>418</v>
      </c>
      <c r="L27" s="2" t="s">
        <v>53</v>
      </c>
      <c r="M27" s="3"/>
      <c r="N27" s="4" t="s">
        <v>53</v>
      </c>
      <c r="O27" s="49"/>
    </row>
    <row r="28" spans="1:15" ht="19.5" x14ac:dyDescent="0.3">
      <c r="A28" s="126">
        <f t="shared" si="0"/>
        <v>14</v>
      </c>
      <c r="B28" s="122" t="s">
        <v>11</v>
      </c>
      <c r="C28" s="122" t="s">
        <v>23</v>
      </c>
      <c r="D28" s="6"/>
      <c r="E28" s="6"/>
      <c r="F28" s="6"/>
      <c r="G28" s="6"/>
      <c r="H28" s="6"/>
      <c r="I28" s="6"/>
      <c r="J28" s="6"/>
      <c r="K28" s="122" t="s">
        <v>418</v>
      </c>
      <c r="L28" s="2"/>
      <c r="M28" s="3"/>
      <c r="N28" s="4"/>
      <c r="O28" s="49" t="s">
        <v>53</v>
      </c>
    </row>
    <row r="29" spans="1:15" ht="19.5" x14ac:dyDescent="0.3">
      <c r="A29" s="126">
        <f t="shared" si="0"/>
        <v>15</v>
      </c>
      <c r="B29" s="122" t="s">
        <v>11</v>
      </c>
      <c r="C29" s="122" t="s">
        <v>121</v>
      </c>
      <c r="D29" s="6"/>
      <c r="E29" s="6"/>
      <c r="F29" s="6"/>
      <c r="G29" s="6"/>
      <c r="H29" s="6"/>
      <c r="I29" s="6"/>
      <c r="J29" s="6"/>
      <c r="K29" s="122" t="s">
        <v>418</v>
      </c>
      <c r="L29" s="2" t="s">
        <v>53</v>
      </c>
      <c r="M29" s="3"/>
      <c r="N29" s="4"/>
      <c r="O29" s="49"/>
    </row>
    <row r="30" spans="1:15" ht="19.5" x14ac:dyDescent="0.3">
      <c r="A30" s="126">
        <f t="shared" si="0"/>
        <v>16</v>
      </c>
      <c r="B30" s="122" t="s">
        <v>12</v>
      </c>
      <c r="C30" s="122" t="s">
        <v>37</v>
      </c>
      <c r="D30" s="6"/>
      <c r="E30" s="6"/>
      <c r="F30" s="6"/>
      <c r="G30" s="6"/>
      <c r="H30" s="6"/>
      <c r="I30" s="6"/>
      <c r="J30" s="6"/>
      <c r="K30" s="122" t="s">
        <v>418</v>
      </c>
      <c r="L30" s="2" t="s">
        <v>53</v>
      </c>
      <c r="M30" s="3"/>
      <c r="N30" s="4" t="s">
        <v>53</v>
      </c>
      <c r="O30" s="49"/>
    </row>
    <row r="31" spans="1:15" ht="19.5" x14ac:dyDescent="0.3">
      <c r="A31" s="126">
        <f t="shared" si="0"/>
        <v>17</v>
      </c>
      <c r="B31" s="122" t="s">
        <v>12</v>
      </c>
      <c r="C31" s="122" t="s">
        <v>38</v>
      </c>
      <c r="D31" s="6"/>
      <c r="E31" s="6"/>
      <c r="F31" s="6"/>
      <c r="G31" s="6"/>
      <c r="H31" s="6"/>
      <c r="I31" s="6"/>
      <c r="J31" s="6"/>
      <c r="K31" s="122" t="s">
        <v>418</v>
      </c>
      <c r="L31" s="2" t="s">
        <v>53</v>
      </c>
      <c r="M31" s="3"/>
      <c r="N31" s="4" t="s">
        <v>53</v>
      </c>
      <c r="O31" s="49"/>
    </row>
    <row r="32" spans="1:15" ht="19.5" x14ac:dyDescent="0.3">
      <c r="A32" s="126">
        <f t="shared" si="0"/>
        <v>18</v>
      </c>
      <c r="B32" s="122" t="s">
        <v>12</v>
      </c>
      <c r="C32" s="122" t="s">
        <v>22</v>
      </c>
      <c r="D32" s="6"/>
      <c r="E32" s="6"/>
      <c r="F32" s="6"/>
      <c r="G32" s="6"/>
      <c r="H32" s="6"/>
      <c r="I32" s="6"/>
      <c r="J32" s="6"/>
      <c r="K32" s="122" t="s">
        <v>418</v>
      </c>
      <c r="L32" s="2"/>
      <c r="M32" s="3"/>
      <c r="N32" s="4"/>
      <c r="O32" s="49" t="s">
        <v>53</v>
      </c>
    </row>
    <row r="33" spans="1:15" ht="19.5" x14ac:dyDescent="0.3">
      <c r="A33" s="126">
        <f t="shared" si="0"/>
        <v>19</v>
      </c>
      <c r="B33" s="122" t="s">
        <v>13</v>
      </c>
      <c r="C33" s="122" t="s">
        <v>36</v>
      </c>
      <c r="D33" s="6"/>
      <c r="E33" s="6"/>
      <c r="F33" s="6"/>
      <c r="G33" s="6"/>
      <c r="H33" s="6"/>
      <c r="I33" s="6"/>
      <c r="J33" s="6"/>
      <c r="K33" s="122" t="s">
        <v>418</v>
      </c>
      <c r="L33" s="2"/>
      <c r="M33" s="3"/>
      <c r="N33" s="4"/>
      <c r="O33" s="49" t="s">
        <v>53</v>
      </c>
    </row>
    <row r="34" spans="1:15" ht="19.5" x14ac:dyDescent="0.3">
      <c r="A34" s="126">
        <f t="shared" si="0"/>
        <v>20</v>
      </c>
      <c r="B34" s="122" t="s">
        <v>149</v>
      </c>
      <c r="C34" s="122" t="s">
        <v>150</v>
      </c>
      <c r="D34" s="6"/>
      <c r="E34" s="6"/>
      <c r="F34" s="6"/>
      <c r="G34" s="6"/>
      <c r="H34" s="6"/>
      <c r="I34" s="6"/>
      <c r="J34" s="6"/>
      <c r="K34" s="122" t="s">
        <v>418</v>
      </c>
      <c r="L34" s="2"/>
      <c r="M34" s="3"/>
      <c r="N34" s="4" t="s">
        <v>53</v>
      </c>
      <c r="O34" s="49" t="s">
        <v>53</v>
      </c>
    </row>
    <row r="35" spans="1:15" ht="19.5" x14ac:dyDescent="0.3">
      <c r="A35" s="126">
        <f t="shared" si="0"/>
        <v>21</v>
      </c>
      <c r="B35" s="122" t="s">
        <v>14</v>
      </c>
      <c r="C35" s="122" t="s">
        <v>35</v>
      </c>
      <c r="D35" s="6"/>
      <c r="E35" s="6"/>
      <c r="F35" s="6"/>
      <c r="G35" s="6"/>
      <c r="H35" s="6"/>
      <c r="I35" s="6"/>
      <c r="J35" s="6"/>
      <c r="K35" s="122" t="s">
        <v>418</v>
      </c>
      <c r="L35" s="2" t="s">
        <v>53</v>
      </c>
      <c r="M35" s="3"/>
      <c r="N35" s="4"/>
      <c r="O35" s="49"/>
    </row>
    <row r="36" spans="1:15" ht="19.5" x14ac:dyDescent="0.3">
      <c r="A36" s="126">
        <f t="shared" si="0"/>
        <v>22</v>
      </c>
      <c r="B36" s="122" t="s">
        <v>14</v>
      </c>
      <c r="C36" s="122" t="s">
        <v>40</v>
      </c>
      <c r="D36" s="6"/>
      <c r="E36" s="6"/>
      <c r="F36" s="6"/>
      <c r="G36" s="6"/>
      <c r="H36" s="6"/>
      <c r="I36" s="6"/>
      <c r="J36" s="6"/>
      <c r="K36" s="122" t="s">
        <v>418</v>
      </c>
      <c r="L36" s="2" t="s">
        <v>53</v>
      </c>
      <c r="M36" s="3"/>
      <c r="N36" s="4"/>
      <c r="O36" s="49"/>
    </row>
    <row r="37" spans="1:15" ht="19.5" x14ac:dyDescent="0.3">
      <c r="A37" s="126">
        <f t="shared" si="0"/>
        <v>23</v>
      </c>
      <c r="B37" s="122" t="s">
        <v>14</v>
      </c>
      <c r="C37" s="122" t="s">
        <v>41</v>
      </c>
      <c r="D37" s="6"/>
      <c r="E37" s="6"/>
      <c r="F37" s="6"/>
      <c r="G37" s="6"/>
      <c r="H37" s="6"/>
      <c r="I37" s="6"/>
      <c r="J37" s="6"/>
      <c r="K37" s="122" t="s">
        <v>418</v>
      </c>
      <c r="L37" s="2"/>
      <c r="M37" s="3"/>
      <c r="N37" s="4" t="s">
        <v>53</v>
      </c>
      <c r="O37" s="49"/>
    </row>
    <row r="38" spans="1:15" ht="19.5" x14ac:dyDescent="0.3">
      <c r="A38" s="126">
        <f t="shared" si="0"/>
        <v>24</v>
      </c>
      <c r="B38" s="122" t="s">
        <v>15</v>
      </c>
      <c r="C38" s="122" t="s">
        <v>34</v>
      </c>
      <c r="D38" s="6"/>
      <c r="E38" s="6"/>
      <c r="F38" s="6"/>
      <c r="G38" s="6"/>
      <c r="H38" s="6"/>
      <c r="I38" s="6"/>
      <c r="J38" s="6"/>
      <c r="K38" s="122" t="s">
        <v>418</v>
      </c>
      <c r="L38" s="2"/>
      <c r="M38" s="3" t="s">
        <v>53</v>
      </c>
      <c r="N38" s="4"/>
      <c r="O38" s="49"/>
    </row>
    <row r="39" spans="1:15" ht="19.5" x14ac:dyDescent="0.3">
      <c r="A39" s="126">
        <f t="shared" si="0"/>
        <v>25</v>
      </c>
      <c r="B39" s="122" t="s">
        <v>376</v>
      </c>
      <c r="C39" s="122" t="s">
        <v>31</v>
      </c>
      <c r="D39" s="6"/>
      <c r="E39" s="6"/>
      <c r="F39" s="6"/>
      <c r="G39" s="6"/>
      <c r="H39" s="6"/>
      <c r="I39" s="6"/>
      <c r="J39" s="6"/>
      <c r="K39" s="122" t="s">
        <v>418</v>
      </c>
      <c r="L39" s="2"/>
      <c r="M39" s="3"/>
      <c r="N39" s="4" t="s">
        <v>53</v>
      </c>
      <c r="O39" s="49"/>
    </row>
    <row r="40" spans="1:15" ht="19.5" x14ac:dyDescent="0.3">
      <c r="A40" s="126">
        <f t="shared" si="0"/>
        <v>26</v>
      </c>
      <c r="B40" s="122" t="s">
        <v>376</v>
      </c>
      <c r="C40" s="122" t="s">
        <v>32</v>
      </c>
      <c r="D40" s="6"/>
      <c r="E40" s="6"/>
      <c r="F40" s="6"/>
      <c r="G40" s="6"/>
      <c r="H40" s="6"/>
      <c r="I40" s="6"/>
      <c r="J40" s="6"/>
      <c r="K40" s="122" t="s">
        <v>418</v>
      </c>
      <c r="L40" s="2"/>
      <c r="M40" s="3"/>
      <c r="N40" s="4" t="s">
        <v>53</v>
      </c>
      <c r="O40" s="49"/>
    </row>
    <row r="41" spans="1:15" ht="19.5" x14ac:dyDescent="0.3">
      <c r="A41" s="126">
        <f t="shared" si="0"/>
        <v>27</v>
      </c>
      <c r="B41" s="122" t="s">
        <v>376</v>
      </c>
      <c r="C41" s="122" t="s">
        <v>33</v>
      </c>
      <c r="D41" s="6"/>
      <c r="E41" s="6"/>
      <c r="F41" s="6"/>
      <c r="G41" s="6"/>
      <c r="H41" s="6"/>
      <c r="I41" s="6"/>
      <c r="J41" s="6"/>
      <c r="K41" s="122" t="s">
        <v>418</v>
      </c>
      <c r="L41" s="2" t="s">
        <v>53</v>
      </c>
      <c r="M41" s="3"/>
      <c r="N41" s="4"/>
      <c r="O41" s="49"/>
    </row>
    <row r="42" spans="1:15" ht="19.5" x14ac:dyDescent="0.3">
      <c r="A42" s="126">
        <f t="shared" si="0"/>
        <v>28</v>
      </c>
      <c r="B42" s="122" t="s">
        <v>17</v>
      </c>
      <c r="C42" s="122" t="s">
        <v>30</v>
      </c>
      <c r="D42" s="6"/>
      <c r="E42" s="6"/>
      <c r="F42" s="6"/>
      <c r="G42" s="6"/>
      <c r="H42" s="6"/>
      <c r="I42" s="6"/>
      <c r="J42" s="6"/>
      <c r="K42" s="122" t="s">
        <v>418</v>
      </c>
      <c r="L42" s="2"/>
      <c r="M42" s="3"/>
      <c r="N42" s="4" t="s">
        <v>53</v>
      </c>
      <c r="O42" s="49" t="s">
        <v>53</v>
      </c>
    </row>
    <row r="43" spans="1:15" ht="19.5" x14ac:dyDescent="0.3">
      <c r="A43" s="126">
        <f t="shared" si="0"/>
        <v>29</v>
      </c>
      <c r="B43" s="122" t="s">
        <v>18</v>
      </c>
      <c r="C43" s="122" t="s">
        <v>29</v>
      </c>
      <c r="D43" s="6"/>
      <c r="E43" s="6"/>
      <c r="F43" s="6"/>
      <c r="G43" s="6"/>
      <c r="H43" s="6"/>
      <c r="I43" s="6"/>
      <c r="J43" s="6"/>
      <c r="K43" s="122" t="s">
        <v>418</v>
      </c>
      <c r="L43" s="2"/>
      <c r="M43" s="3"/>
      <c r="N43" s="4" t="s">
        <v>53</v>
      </c>
      <c r="O43" s="49"/>
    </row>
    <row r="44" spans="1:15" ht="19.5" x14ac:dyDescent="0.3">
      <c r="A44" s="126">
        <f t="shared" si="0"/>
        <v>30</v>
      </c>
      <c r="B44" s="122" t="s">
        <v>19</v>
      </c>
      <c r="C44" s="122" t="s">
        <v>28</v>
      </c>
      <c r="D44" s="6"/>
      <c r="E44" s="6"/>
      <c r="F44" s="6"/>
      <c r="G44" s="6"/>
      <c r="H44" s="6"/>
      <c r="I44" s="6"/>
      <c r="J44" s="6"/>
      <c r="K44" s="122" t="s">
        <v>418</v>
      </c>
      <c r="L44" s="2"/>
      <c r="M44" s="3" t="s">
        <v>53</v>
      </c>
      <c r="N44" s="4" t="s">
        <v>53</v>
      </c>
      <c r="O44" s="49"/>
    </row>
    <row r="45" spans="1:15" ht="19.5" x14ac:dyDescent="0.3">
      <c r="A45" s="126">
        <f t="shared" si="0"/>
        <v>31</v>
      </c>
      <c r="B45" s="122" t="s">
        <v>7</v>
      </c>
      <c r="C45" s="122" t="s">
        <v>27</v>
      </c>
      <c r="D45" s="6"/>
      <c r="E45" s="6"/>
      <c r="F45" s="6"/>
      <c r="G45" s="6"/>
      <c r="H45" s="6"/>
      <c r="I45" s="6"/>
      <c r="J45" s="6"/>
      <c r="K45" s="122" t="s">
        <v>418</v>
      </c>
      <c r="L45" s="2" t="s">
        <v>53</v>
      </c>
      <c r="M45" s="3"/>
      <c r="N45" s="4"/>
      <c r="O45" s="49"/>
    </row>
  </sheetData>
  <mergeCells count="1">
    <mergeCell ref="L13:O13"/>
  </mergeCells>
  <pageMargins left="0.7" right="0.7" top="0.75" bottom="0.75" header="0.3" footer="0.3"/>
  <pageSetup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6"/>
  <sheetViews>
    <sheetView tabSelected="1" topLeftCell="B1" zoomScale="90" zoomScaleNormal="90" workbookViewId="0">
      <pane xSplit="1" ySplit="7" topLeftCell="C8" activePane="bottomRight" state="frozen"/>
      <selection activeCell="B1" sqref="B1"/>
      <selection pane="topRight" activeCell="C1" sqref="C1"/>
      <selection pane="bottomLeft" activeCell="B8" sqref="B8"/>
      <selection pane="bottomRight" activeCell="M77" sqref="B55:M77"/>
    </sheetView>
  </sheetViews>
  <sheetFormatPr baseColWidth="10" defaultColWidth="9.140625" defaultRowHeight="15.75" x14ac:dyDescent="0.25"/>
  <cols>
    <col min="1" max="1" width="10.140625" style="87" hidden="1" customWidth="1"/>
    <col min="2" max="2" width="28.5703125" style="87" customWidth="1"/>
    <col min="3" max="3" width="14.85546875" style="87" customWidth="1"/>
    <col min="4" max="4" width="15.85546875" style="87" customWidth="1"/>
    <col min="5" max="5" width="15.140625" style="87" bestFit="1" customWidth="1"/>
    <col min="6" max="7" width="18.28515625" style="87" customWidth="1"/>
    <col min="8" max="11" width="18.7109375" style="87" customWidth="1"/>
    <col min="12" max="14" width="15.140625" style="87" bestFit="1" customWidth="1"/>
    <col min="15" max="19" width="14.7109375" style="14" customWidth="1"/>
    <col min="20" max="73" width="14.7109375" customWidth="1"/>
  </cols>
  <sheetData>
    <row r="1" spans="1:14" hidden="1" x14ac:dyDescent="0.25">
      <c r="A1" s="85" t="s">
        <v>272</v>
      </c>
    </row>
    <row r="2" spans="1:14" hidden="1" x14ac:dyDescent="0.25">
      <c r="A2" s="85" t="s">
        <v>267</v>
      </c>
    </row>
    <row r="3" spans="1:14" hidden="1" x14ac:dyDescent="0.25">
      <c r="A3" s="85"/>
    </row>
    <row r="4" spans="1:14" ht="9.75" customHeight="1" x14ac:dyDescent="0.25">
      <c r="A4" s="85"/>
    </row>
    <row r="5" spans="1:14" x14ac:dyDescent="0.25">
      <c r="A5" s="91"/>
      <c r="B5" s="98"/>
      <c r="C5" s="146">
        <v>2025</v>
      </c>
      <c r="D5" s="150">
        <v>2024</v>
      </c>
      <c r="E5" s="174">
        <v>2023</v>
      </c>
      <c r="F5" s="134">
        <v>2025</v>
      </c>
      <c r="G5" s="134">
        <v>2025</v>
      </c>
      <c r="H5" s="150">
        <v>2024</v>
      </c>
      <c r="I5" s="150">
        <v>2024</v>
      </c>
      <c r="J5" s="153">
        <v>2023</v>
      </c>
      <c r="K5" s="153">
        <v>2023</v>
      </c>
      <c r="L5" s="146">
        <v>2025</v>
      </c>
      <c r="M5" s="150">
        <v>2024</v>
      </c>
      <c r="N5" s="174">
        <v>2023</v>
      </c>
    </row>
    <row r="6" spans="1:14" hidden="1" x14ac:dyDescent="0.25">
      <c r="B6" s="99"/>
      <c r="C6" s="175" t="s">
        <v>54</v>
      </c>
      <c r="D6" s="176" t="s">
        <v>54</v>
      </c>
      <c r="E6" s="178" t="s">
        <v>54</v>
      </c>
      <c r="F6" s="331" t="s">
        <v>54</v>
      </c>
      <c r="G6" s="331" t="s">
        <v>54</v>
      </c>
      <c r="H6" s="176" t="s">
        <v>54</v>
      </c>
      <c r="I6" s="176" t="s">
        <v>54</v>
      </c>
      <c r="J6" s="177" t="s">
        <v>54</v>
      </c>
      <c r="K6" s="177" t="s">
        <v>54</v>
      </c>
      <c r="L6" s="175" t="s">
        <v>54</v>
      </c>
      <c r="M6" s="176" t="s">
        <v>54</v>
      </c>
      <c r="N6" s="178" t="s">
        <v>54</v>
      </c>
    </row>
    <row r="7" spans="1:14" x14ac:dyDescent="0.25">
      <c r="B7" s="101" t="s">
        <v>55</v>
      </c>
      <c r="C7" s="203" t="s">
        <v>56</v>
      </c>
      <c r="D7" s="203" t="s">
        <v>56</v>
      </c>
      <c r="E7" s="204" t="s">
        <v>56</v>
      </c>
      <c r="F7" s="332" t="s">
        <v>57</v>
      </c>
      <c r="G7" s="332" t="s">
        <v>58</v>
      </c>
      <c r="H7" s="179" t="s">
        <v>57</v>
      </c>
      <c r="I7" s="179" t="s">
        <v>58</v>
      </c>
      <c r="J7" s="180" t="s">
        <v>57</v>
      </c>
      <c r="K7" s="180" t="s">
        <v>58</v>
      </c>
      <c r="L7" s="201" t="s">
        <v>50</v>
      </c>
      <c r="M7" s="201" t="s">
        <v>50</v>
      </c>
      <c r="N7" s="202" t="s">
        <v>50</v>
      </c>
    </row>
    <row r="8" spans="1:14" x14ac:dyDescent="0.25">
      <c r="B8" s="101" t="s">
        <v>59</v>
      </c>
      <c r="C8" s="181"/>
      <c r="D8" s="182"/>
      <c r="E8" s="168"/>
      <c r="F8" s="333"/>
      <c r="G8" s="333"/>
      <c r="H8" s="183"/>
      <c r="I8" s="183"/>
      <c r="J8" s="184"/>
      <c r="K8" s="184"/>
      <c r="L8" s="181"/>
      <c r="M8" s="182"/>
      <c r="N8" s="168"/>
    </row>
    <row r="9" spans="1:14" x14ac:dyDescent="0.25">
      <c r="A9" s="87" t="s">
        <v>60</v>
      </c>
      <c r="B9" s="102" t="s">
        <v>61</v>
      </c>
      <c r="C9" s="161">
        <v>4802961</v>
      </c>
      <c r="D9" s="165">
        <v>4979761</v>
      </c>
      <c r="E9" s="169">
        <v>41365786</v>
      </c>
      <c r="F9" s="135">
        <f ca="1">SUMIF('Asientos-1'!A:P,Matriz!A9:A9,'Asientos-1'!K:K)</f>
        <v>0</v>
      </c>
      <c r="G9" s="135">
        <f ca="1">SUMIF('Asientos-1'!A:P,Matriz!A9:A9,'Asientos-1'!L:L)</f>
        <v>0</v>
      </c>
      <c r="H9" s="151">
        <f ca="1">SUMIF('Asientos-1'!A:P,Matriz!A9:A9,'Asientos-1'!M:M)</f>
        <v>0</v>
      </c>
      <c r="I9" s="151">
        <f ca="1">SUMIF('Asientos-1'!A:P,Matriz!A9:A9,'Asientos-1'!N:N)</f>
        <v>0</v>
      </c>
      <c r="J9" s="154">
        <f ca="1">SUMIF('Asientos-1'!A:P,Matriz!A9:A9,'Asientos-1'!O:O)</f>
        <v>0</v>
      </c>
      <c r="K9" s="154">
        <f ca="1">SUMIF('Asientos-1'!A:P,Matriz!A9:A9,'Asientos-1'!P:P)</f>
        <v>0</v>
      </c>
      <c r="L9" s="161">
        <f ca="1">+C9+F9-G9</f>
        <v>4802961</v>
      </c>
      <c r="M9" s="165">
        <f t="shared" ref="M9:M16" ca="1" si="0">+D9+H9-I9</f>
        <v>4979761</v>
      </c>
      <c r="N9" s="169">
        <f t="shared" ref="N9:N16" ca="1" si="1">+E9+J9-K9</f>
        <v>41365786</v>
      </c>
    </row>
    <row r="10" spans="1:14" x14ac:dyDescent="0.25">
      <c r="A10" s="87" t="s">
        <v>62</v>
      </c>
      <c r="B10" s="103" t="s">
        <v>63</v>
      </c>
      <c r="C10" s="161">
        <v>23532324</v>
      </c>
      <c r="D10" s="165">
        <v>8677903</v>
      </c>
      <c r="E10" s="169">
        <v>19800738</v>
      </c>
      <c r="F10" s="135">
        <f ca="1">SUMIF('Asientos-1'!A:P,Matriz!A10:A10,'Asientos-1'!K:K)</f>
        <v>0</v>
      </c>
      <c r="G10" s="135">
        <f ca="1">SUMIF('Asientos-1'!A:P,Matriz!A10:A10,'Asientos-1'!L:L)</f>
        <v>0</v>
      </c>
      <c r="H10" s="151">
        <f ca="1">SUMIF('Asientos-1'!A:P,Matriz!A10:A10,'Asientos-1'!M:M)</f>
        <v>0</v>
      </c>
      <c r="I10" s="151">
        <f ca="1">SUMIF('Asientos-1'!A:P,Matriz!A10:A10,'Asientos-1'!N:N)</f>
        <v>0</v>
      </c>
      <c r="J10" s="154">
        <f ca="1">SUMIF('Asientos-1'!A:P,Matriz!A10:A10,'Asientos-1'!O:O)</f>
        <v>0</v>
      </c>
      <c r="K10" s="154">
        <f ca="1">SUMIF('Asientos-1'!A:P,Matriz!A10:A10,'Asientos-1'!P:P)</f>
        <v>0</v>
      </c>
      <c r="L10" s="161">
        <f t="shared" ref="L10:L16" ca="1" si="2">+C10+F10-G10</f>
        <v>23532324</v>
      </c>
      <c r="M10" s="165">
        <f t="shared" ca="1" si="0"/>
        <v>8677903</v>
      </c>
      <c r="N10" s="169">
        <f t="shared" ca="1" si="1"/>
        <v>19800738</v>
      </c>
    </row>
    <row r="11" spans="1:14" x14ac:dyDescent="0.25">
      <c r="A11" s="87" t="s">
        <v>64</v>
      </c>
      <c r="B11" s="102" t="s">
        <v>65</v>
      </c>
      <c r="C11" s="161">
        <f>73616908-23000000</f>
        <v>50616908</v>
      </c>
      <c r="D11" s="165">
        <v>157947</v>
      </c>
      <c r="E11" s="169">
        <v>0</v>
      </c>
      <c r="F11" s="135">
        <f ca="1">SUMIF('Asientos-1'!A:P,Matriz!A11:A11,'Asientos-1'!K:K)</f>
        <v>0</v>
      </c>
      <c r="G11" s="135">
        <f ca="1">SUMIF('Asientos-1'!A:P,Matriz!A11:A11,'Asientos-1'!L:L)</f>
        <v>0</v>
      </c>
      <c r="H11" s="151">
        <f ca="1">SUMIF('Asientos-1'!A:P,Matriz!A11:A11,'Asientos-1'!M:M)</f>
        <v>0</v>
      </c>
      <c r="I11" s="151">
        <f ca="1">SUMIF('Asientos-1'!A:P,Matriz!A11:A11,'Asientos-1'!N:N)</f>
        <v>0</v>
      </c>
      <c r="J11" s="154">
        <f ca="1">SUMIF('Asientos-1'!A:P,Matriz!A11:A11,'Asientos-1'!O:O)</f>
        <v>0</v>
      </c>
      <c r="K11" s="154">
        <f ca="1">SUMIF('Asientos-1'!A:P,Matriz!A11:A11,'Asientos-1'!P:P)</f>
        <v>0</v>
      </c>
      <c r="L11" s="161">
        <f t="shared" ca="1" si="2"/>
        <v>50616908</v>
      </c>
      <c r="M11" s="165">
        <f t="shared" ca="1" si="0"/>
        <v>157947</v>
      </c>
      <c r="N11" s="169">
        <f t="shared" ca="1" si="1"/>
        <v>0</v>
      </c>
    </row>
    <row r="12" spans="1:14" x14ac:dyDescent="0.25">
      <c r="A12" s="87" t="s">
        <v>66</v>
      </c>
      <c r="B12" s="103" t="s">
        <v>67</v>
      </c>
      <c r="C12" s="161">
        <v>7549999</v>
      </c>
      <c r="D12" s="165">
        <v>8591901</v>
      </c>
      <c r="E12" s="169">
        <v>8611271</v>
      </c>
      <c r="F12" s="135">
        <f ca="1">SUMIF('Asientos-1'!A:P,Matriz!A12:A12,'Asientos-1'!K:K)</f>
        <v>0</v>
      </c>
      <c r="G12" s="135">
        <f ca="1">SUMIF('Asientos-1'!A:P,Matriz!A12:A12,'Asientos-1'!L:L)</f>
        <v>0</v>
      </c>
      <c r="H12" s="151">
        <f ca="1">SUMIF('Asientos-1'!A:P,Matriz!A12:A12,'Asientos-1'!M:M)</f>
        <v>0</v>
      </c>
      <c r="I12" s="151">
        <f ca="1">SUMIF('Asientos-1'!A:P,Matriz!A12:A12,'Asientos-1'!N:N)</f>
        <v>0</v>
      </c>
      <c r="J12" s="154">
        <f ca="1">SUMIF('Asientos-1'!A:P,Matriz!A12:A12,'Asientos-1'!O:O)</f>
        <v>0</v>
      </c>
      <c r="K12" s="154">
        <f ca="1">SUMIF('Asientos-1'!A:P,Matriz!A12:A12,'Asientos-1'!P:P)</f>
        <v>0</v>
      </c>
      <c r="L12" s="161">
        <f t="shared" ca="1" si="2"/>
        <v>7549999</v>
      </c>
      <c r="M12" s="165">
        <f t="shared" ca="1" si="0"/>
        <v>8591901</v>
      </c>
      <c r="N12" s="169">
        <f t="shared" ca="1" si="1"/>
        <v>8611271</v>
      </c>
    </row>
    <row r="13" spans="1:14" x14ac:dyDescent="0.25">
      <c r="A13" s="87" t="s">
        <v>68</v>
      </c>
      <c r="B13" s="102" t="s">
        <v>69</v>
      </c>
      <c r="C13" s="161">
        <v>508739</v>
      </c>
      <c r="D13" s="165">
        <v>1038707</v>
      </c>
      <c r="E13" s="169">
        <v>416646</v>
      </c>
      <c r="F13" s="135">
        <f ca="1">SUMIF('Asientos-1'!A:P,Matriz!A13:A13,'Asientos-1'!K:K)</f>
        <v>0</v>
      </c>
      <c r="G13" s="135">
        <f ca="1">SUMIF('Asientos-1'!A:P,Matriz!A13:A13,'Asientos-1'!L:L)</f>
        <v>0</v>
      </c>
      <c r="H13" s="151">
        <f ca="1">SUMIF('Asientos-1'!A:P,Matriz!A13:A13,'Asientos-1'!M:M)</f>
        <v>0</v>
      </c>
      <c r="I13" s="151">
        <f ca="1">SUMIF('Asientos-1'!A:P,Matriz!A13:A13,'Asientos-1'!N:N)</f>
        <v>0</v>
      </c>
      <c r="J13" s="154">
        <f ca="1">SUMIF('Asientos-1'!A:P,Matriz!A13:A13,'Asientos-1'!O:O)</f>
        <v>0</v>
      </c>
      <c r="K13" s="154">
        <f ca="1">SUMIF('Asientos-1'!A:P,Matriz!A13:A13,'Asientos-1'!P:P)</f>
        <v>0</v>
      </c>
      <c r="L13" s="161">
        <f t="shared" ca="1" si="2"/>
        <v>508739</v>
      </c>
      <c r="M13" s="165">
        <f t="shared" ca="1" si="0"/>
        <v>1038707</v>
      </c>
      <c r="N13" s="169">
        <f t="shared" ca="1" si="1"/>
        <v>416646</v>
      </c>
    </row>
    <row r="14" spans="1:14" x14ac:dyDescent="0.25">
      <c r="A14" s="87" t="s">
        <v>70</v>
      </c>
      <c r="B14" s="102" t="s">
        <v>71</v>
      </c>
      <c r="C14" s="161">
        <v>5733393</v>
      </c>
      <c r="D14" s="165">
        <v>5748442</v>
      </c>
      <c r="E14" s="169">
        <v>5821147</v>
      </c>
      <c r="F14" s="135">
        <f ca="1">SUMIF('Asientos-1'!A:P,Matriz!A14:A14,'Asientos-1'!K:K)</f>
        <v>0</v>
      </c>
      <c r="G14" s="135">
        <f ca="1">SUMIF('Asientos-1'!A:P,Matriz!A14:A14,'Asientos-1'!L:L)</f>
        <v>0</v>
      </c>
      <c r="H14" s="151">
        <f ca="1">SUMIF('Asientos-1'!A:P,Matriz!A14:A14,'Asientos-1'!M:M)</f>
        <v>0</v>
      </c>
      <c r="I14" s="151">
        <f ca="1">SUMIF('Asientos-1'!A:P,Matriz!A14:A14,'Asientos-1'!N:N)</f>
        <v>0</v>
      </c>
      <c r="J14" s="154">
        <f ca="1">SUMIF('Asientos-1'!A:P,Matriz!A14:A14,'Asientos-1'!O:O)</f>
        <v>0</v>
      </c>
      <c r="K14" s="154">
        <f ca="1">SUMIF('Asientos-1'!A:P,Matriz!A14:A14,'Asientos-1'!P:P)</f>
        <v>0</v>
      </c>
      <c r="L14" s="161">
        <f t="shared" ca="1" si="2"/>
        <v>5733393</v>
      </c>
      <c r="M14" s="165">
        <f t="shared" ca="1" si="0"/>
        <v>5748442</v>
      </c>
      <c r="N14" s="169">
        <f t="shared" ca="1" si="1"/>
        <v>5821147</v>
      </c>
    </row>
    <row r="15" spans="1:14" x14ac:dyDescent="0.25">
      <c r="A15" s="87" t="s">
        <v>72</v>
      </c>
      <c r="B15" s="103" t="s">
        <v>73</v>
      </c>
      <c r="C15" s="161">
        <v>195624</v>
      </c>
      <c r="D15" s="165">
        <v>127011</v>
      </c>
      <c r="E15" s="169">
        <v>281380</v>
      </c>
      <c r="F15" s="135">
        <f ca="1">SUMIF('Asientos-1'!A:P,Matriz!A15:A15,'Asientos-1'!K:K)</f>
        <v>0</v>
      </c>
      <c r="G15" s="135">
        <f ca="1">SUMIF('Asientos-1'!A:P,Matriz!A15:A15,'Asientos-1'!L:L)</f>
        <v>0</v>
      </c>
      <c r="H15" s="151">
        <f ca="1">SUMIF('Asientos-1'!A:P,Matriz!A15:A15,'Asientos-1'!M:M)</f>
        <v>0</v>
      </c>
      <c r="I15" s="151">
        <f ca="1">SUMIF('Asientos-1'!A:P,Matriz!A15:A15,'Asientos-1'!N:N)</f>
        <v>0</v>
      </c>
      <c r="J15" s="154">
        <f ca="1">SUMIF('Asientos-1'!A:P,Matriz!A15:A15,'Asientos-1'!O:O)</f>
        <v>0</v>
      </c>
      <c r="K15" s="154">
        <f ca="1">SUMIF('Asientos-1'!A:P,Matriz!A15:A15,'Asientos-1'!P:P)</f>
        <v>0</v>
      </c>
      <c r="L15" s="161">
        <f t="shared" ca="1" si="2"/>
        <v>195624</v>
      </c>
      <c r="M15" s="165">
        <f t="shared" ca="1" si="0"/>
        <v>127011</v>
      </c>
      <c r="N15" s="169">
        <f t="shared" ca="1" si="1"/>
        <v>281380</v>
      </c>
    </row>
    <row r="16" spans="1:14" x14ac:dyDescent="0.25">
      <c r="A16" s="87" t="s">
        <v>74</v>
      </c>
      <c r="B16" s="103" t="s">
        <v>75</v>
      </c>
      <c r="C16" s="148">
        <v>0</v>
      </c>
      <c r="D16" s="152">
        <v>0</v>
      </c>
      <c r="E16" s="170">
        <v>0</v>
      </c>
      <c r="F16" s="135">
        <f ca="1">SUMIF('Asientos-1'!A:P,Matriz!A16:A16,'Asientos-1'!K:K)</f>
        <v>0</v>
      </c>
      <c r="G16" s="135">
        <f ca="1">SUMIF('Asientos-1'!A:P,Matriz!A16:A16,'Asientos-1'!L:L)</f>
        <v>0</v>
      </c>
      <c r="H16" s="151">
        <f ca="1">SUMIF('Asientos-1'!A:P,Matriz!A16:A16,'Asientos-1'!M:M)</f>
        <v>0</v>
      </c>
      <c r="I16" s="151">
        <f ca="1">SUMIF('Asientos-1'!A:P,Matriz!A16:A16,'Asientos-1'!N:N)</f>
        <v>0</v>
      </c>
      <c r="J16" s="154">
        <f ca="1">SUMIF('Asientos-1'!A:P,Matriz!A16:A16,'Asientos-1'!O:O)</f>
        <v>0</v>
      </c>
      <c r="K16" s="154">
        <f ca="1">SUMIF('Asientos-1'!A:P,Matriz!A16:A16,'Asientos-1'!P:P)</f>
        <v>0</v>
      </c>
      <c r="L16" s="148">
        <f t="shared" ca="1" si="2"/>
        <v>0</v>
      </c>
      <c r="M16" s="152">
        <f t="shared" ca="1" si="0"/>
        <v>0</v>
      </c>
      <c r="N16" s="170">
        <f t="shared" ca="1" si="1"/>
        <v>0</v>
      </c>
    </row>
    <row r="17" spans="1:14" x14ac:dyDescent="0.25">
      <c r="B17" s="101" t="s">
        <v>76</v>
      </c>
      <c r="C17" s="162">
        <f>SUM(C9:C16)</f>
        <v>92939948</v>
      </c>
      <c r="D17" s="166">
        <f>SUM(D9:D16)</f>
        <v>29321672</v>
      </c>
      <c r="E17" s="171">
        <f>SUM(E9:E16)</f>
        <v>76296968</v>
      </c>
      <c r="F17" s="135"/>
      <c r="G17" s="135"/>
      <c r="H17" s="151"/>
      <c r="I17" s="151"/>
      <c r="J17" s="154"/>
      <c r="K17" s="154"/>
      <c r="L17" s="162">
        <f ca="1">SUM(L9:L16)</f>
        <v>92939948</v>
      </c>
      <c r="M17" s="166">
        <f ca="1">SUM(M9:M16)</f>
        <v>29321672</v>
      </c>
      <c r="N17" s="171">
        <f ca="1">SUM(N9:N16)</f>
        <v>76296968</v>
      </c>
    </row>
    <row r="18" spans="1:14" x14ac:dyDescent="0.25">
      <c r="B18" s="101" t="s">
        <v>77</v>
      </c>
      <c r="C18" s="147"/>
      <c r="D18" s="151"/>
      <c r="E18" s="172"/>
      <c r="F18" s="135"/>
      <c r="G18" s="135"/>
      <c r="H18" s="151"/>
      <c r="I18" s="151"/>
      <c r="J18" s="154"/>
      <c r="K18" s="154"/>
      <c r="L18" s="147"/>
      <c r="M18" s="151"/>
      <c r="N18" s="172"/>
    </row>
    <row r="19" spans="1:14" ht="16.5" thickBot="1" x14ac:dyDescent="0.3">
      <c r="A19" s="87" t="s">
        <v>78</v>
      </c>
      <c r="B19" s="102" t="s">
        <v>65</v>
      </c>
      <c r="C19" s="161">
        <v>0</v>
      </c>
      <c r="D19" s="165">
        <v>51828700</v>
      </c>
      <c r="E19" s="169">
        <v>0</v>
      </c>
      <c r="F19" s="135">
        <f ca="1">SUMIF('Asientos-1'!A:P,Matriz!A19:A19,'Asientos-1'!K:K)</f>
        <v>0</v>
      </c>
      <c r="G19" s="135">
        <f ca="1">SUMIF('Asientos-1'!A:P,Matriz!A19:A19,'Asientos-1'!L:L)</f>
        <v>0</v>
      </c>
      <c r="H19" s="151">
        <f ca="1">SUMIF('Asientos-1'!A:P,Matriz!A19:A19,'Asientos-1'!M:M)</f>
        <v>0</v>
      </c>
      <c r="I19" s="151">
        <f ca="1">SUMIF('Asientos-1'!A:P,Matriz!A19:A19,'Asientos-1'!N:N)</f>
        <v>0</v>
      </c>
      <c r="J19" s="154">
        <f ca="1">SUMIF('Asientos-1'!A:P,Matriz!A19:A19,'Asientos-1'!O:O)</f>
        <v>0</v>
      </c>
      <c r="K19" s="154">
        <f ca="1">SUMIF('Asientos-1'!A:P,Matriz!A19:A19,'Asientos-1'!P:P)</f>
        <v>0</v>
      </c>
      <c r="L19" s="161">
        <f t="shared" ref="L19:L27" ca="1" si="3">+C19+F19-G19</f>
        <v>0</v>
      </c>
      <c r="M19" s="165">
        <f t="shared" ref="M19:M27" ca="1" si="4">+D19+H19-I19</f>
        <v>51828700</v>
      </c>
      <c r="N19" s="169">
        <f t="shared" ref="N19:N27" ca="1" si="5">+E19+J19-K19</f>
        <v>0</v>
      </c>
    </row>
    <row r="20" spans="1:14" ht="16.5" thickBot="1" x14ac:dyDescent="0.3">
      <c r="A20" s="87" t="s">
        <v>79</v>
      </c>
      <c r="B20" s="421" t="s">
        <v>137</v>
      </c>
      <c r="C20" s="422">
        <v>23223326</v>
      </c>
      <c r="D20" s="422">
        <v>22473937</v>
      </c>
      <c r="E20" s="423">
        <v>28170908</v>
      </c>
      <c r="F20" s="470">
        <f ca="1">SUMIF('Asientos-1'!A:P,Matriz!A20:A20,'Asientos-1'!K:K)</f>
        <v>0</v>
      </c>
      <c r="G20" s="470">
        <f ca="1">SUMIF('Asientos-1'!A:P,Matriz!A20:A20,'Asientos-1'!L:L)</f>
        <v>750000</v>
      </c>
      <c r="H20" s="424">
        <f ca="1">SUMIF('Asientos-1'!A:P,Matriz!A20:A20,'Asientos-1'!M:M)</f>
        <v>0</v>
      </c>
      <c r="I20" s="424">
        <f ca="1">SUMIF('Asientos-1'!A:P,Matriz!A20:A20,'Asientos-1'!N:N)</f>
        <v>600000</v>
      </c>
      <c r="J20" s="424">
        <f ca="1">SUMIF('Asientos-1'!A:P,Matriz!A20:A20,'Asientos-1'!O:O)</f>
        <v>0</v>
      </c>
      <c r="K20" s="424">
        <f ca="1">SUMIF('Asientos-1'!A:P,Matriz!A20:A20,'Asientos-1'!P:P)</f>
        <v>450000</v>
      </c>
      <c r="L20" s="422">
        <f t="shared" ca="1" si="3"/>
        <v>22473326</v>
      </c>
      <c r="M20" s="422">
        <f ca="1">+D20+H20-I20</f>
        <v>21873937</v>
      </c>
      <c r="N20" s="425">
        <f ca="1">+E20+J20-K20</f>
        <v>27720908</v>
      </c>
    </row>
    <row r="21" spans="1:14" x14ac:dyDescent="0.25">
      <c r="A21" s="87" t="s">
        <v>198</v>
      </c>
      <c r="B21" s="102" t="s">
        <v>199</v>
      </c>
      <c r="C21" s="161">
        <v>0</v>
      </c>
      <c r="D21" s="165">
        <v>0</v>
      </c>
      <c r="E21" s="169">
        <v>0</v>
      </c>
      <c r="F21" s="135">
        <f ca="1">SUMIF('Asientos-1'!A:P,Matriz!A21:A21,'Asientos-1'!K:K)</f>
        <v>0</v>
      </c>
      <c r="G21" s="135">
        <f ca="1">SUMIF('Asientos-1'!A:P,Matriz!A21:A21,'Asientos-1'!L:L)</f>
        <v>0</v>
      </c>
      <c r="H21" s="151">
        <f ca="1">SUMIF('Asientos-1'!A:P,Matriz!A21:A21,'Asientos-1'!M:M)</f>
        <v>0</v>
      </c>
      <c r="I21" s="151">
        <f ca="1">SUMIF('Asientos-1'!A:P,Matriz!A21:A21,'Asientos-1'!N:N)</f>
        <v>0</v>
      </c>
      <c r="J21" s="154">
        <f ca="1">SUMIF('Asientos-1'!A:P,Matriz!A21:A21,'Asientos-1'!O:O)</f>
        <v>0</v>
      </c>
      <c r="K21" s="154">
        <f ca="1">SUMIF('Asientos-1'!A:P,Matriz!A21:A21,'Asientos-1'!P:P)</f>
        <v>0</v>
      </c>
      <c r="L21" s="161">
        <f t="shared" ca="1" si="3"/>
        <v>0</v>
      </c>
      <c r="M21" s="165">
        <f t="shared" ca="1" si="4"/>
        <v>0</v>
      </c>
      <c r="N21" s="169">
        <f t="shared" ca="1" si="5"/>
        <v>0</v>
      </c>
    </row>
    <row r="22" spans="1:14" x14ac:dyDescent="0.25">
      <c r="A22" s="87" t="s">
        <v>196</v>
      </c>
      <c r="B22" s="102" t="s">
        <v>197</v>
      </c>
      <c r="C22" s="161">
        <v>0</v>
      </c>
      <c r="D22" s="165">
        <v>0</v>
      </c>
      <c r="E22" s="169">
        <v>0</v>
      </c>
      <c r="F22" s="135">
        <f ca="1">SUMIF('Asientos-1'!A:P,Matriz!A22:A22,'Asientos-1'!K:K)</f>
        <v>0</v>
      </c>
      <c r="G22" s="135">
        <f ca="1">SUMIF('Asientos-1'!A:P,Matriz!A22:A22,'Asientos-1'!L:L)</f>
        <v>0</v>
      </c>
      <c r="H22" s="151">
        <f ca="1">SUMIF('Asientos-1'!A:P,Matriz!A22:A22,'Asientos-1'!M:M)</f>
        <v>0</v>
      </c>
      <c r="I22" s="151">
        <f ca="1">SUMIF('Asientos-1'!A:P,Matriz!A22:A22,'Asientos-1'!N:N)</f>
        <v>0</v>
      </c>
      <c r="J22" s="154">
        <f ca="1">SUMIF('Asientos-1'!A:P,Matriz!A22:A22,'Asientos-1'!O:O)</f>
        <v>0</v>
      </c>
      <c r="K22" s="154">
        <f ca="1">SUMIF('Asientos-1'!A:P,Matriz!A22:A22,'Asientos-1'!P:P)</f>
        <v>0</v>
      </c>
      <c r="L22" s="161">
        <f t="shared" ca="1" si="3"/>
        <v>0</v>
      </c>
      <c r="M22" s="165">
        <f t="shared" ca="1" si="4"/>
        <v>0</v>
      </c>
      <c r="N22" s="169">
        <f t="shared" ca="1" si="5"/>
        <v>0</v>
      </c>
    </row>
    <row r="23" spans="1:14" x14ac:dyDescent="0.25">
      <c r="A23" s="87" t="s">
        <v>175</v>
      </c>
      <c r="B23" s="102" t="s">
        <v>176</v>
      </c>
      <c r="C23" s="161">
        <v>0</v>
      </c>
      <c r="D23" s="165">
        <v>0</v>
      </c>
      <c r="E23" s="169">
        <v>0</v>
      </c>
      <c r="F23" s="135">
        <f ca="1">SUMIF('Asientos-1'!A:P,Matriz!A23:A23,'Asientos-1'!K:K)</f>
        <v>0</v>
      </c>
      <c r="G23" s="135">
        <f ca="1">SUMIF('Asientos-1'!A:P,Matriz!A23:A23,'Asientos-1'!L:L)</f>
        <v>0</v>
      </c>
      <c r="H23" s="151">
        <f ca="1">SUMIF('Asientos-1'!A:P,Matriz!A23:A23,'Asientos-1'!M:M)</f>
        <v>0</v>
      </c>
      <c r="I23" s="151">
        <f ca="1">SUMIF('Asientos-1'!A:P,Matriz!A23:A23,'Asientos-1'!N:N)</f>
        <v>0</v>
      </c>
      <c r="J23" s="154">
        <f ca="1">SUMIF('Asientos-1'!A:P,Matriz!A23:A23,'Asientos-1'!O:O)</f>
        <v>0</v>
      </c>
      <c r="K23" s="154">
        <f ca="1">SUMIF('Asientos-1'!A:P,Matriz!A23:A23,'Asientos-1'!P:P)</f>
        <v>0</v>
      </c>
      <c r="L23" s="161">
        <f t="shared" ca="1" si="3"/>
        <v>0</v>
      </c>
      <c r="M23" s="165">
        <f t="shared" ca="1" si="4"/>
        <v>0</v>
      </c>
      <c r="N23" s="169">
        <f t="shared" ca="1" si="5"/>
        <v>0</v>
      </c>
    </row>
    <row r="24" spans="1:14" x14ac:dyDescent="0.25">
      <c r="A24" s="87" t="s">
        <v>177</v>
      </c>
      <c r="B24" s="102" t="s">
        <v>174</v>
      </c>
      <c r="C24" s="161">
        <v>3200000</v>
      </c>
      <c r="D24" s="165">
        <v>3200000</v>
      </c>
      <c r="E24" s="169">
        <v>3200000</v>
      </c>
      <c r="F24" s="135">
        <f ca="1">SUMIF('Asientos-1'!A:P,Matriz!A24:A24,'Asientos-1'!K:K)</f>
        <v>0</v>
      </c>
      <c r="G24" s="135">
        <f ca="1">SUMIF('Asientos-1'!A:P,Matriz!A24:A24,'Asientos-1'!L:L)</f>
        <v>0</v>
      </c>
      <c r="H24" s="151">
        <f ca="1">SUMIF('Asientos-1'!A:P,Matriz!A24:A24,'Asientos-1'!M:M)</f>
        <v>0</v>
      </c>
      <c r="I24" s="151">
        <f ca="1">SUMIF('Asientos-1'!A:P,Matriz!A24:A24,'Asientos-1'!N:N)</f>
        <v>0</v>
      </c>
      <c r="J24" s="154">
        <f ca="1">SUMIF('Asientos-1'!A:P,Matriz!A24:A24,'Asientos-1'!O:O)</f>
        <v>0</v>
      </c>
      <c r="K24" s="154">
        <f ca="1">SUMIF('Asientos-1'!A:P,Matriz!A24:A24,'Asientos-1'!P:P)</f>
        <v>0</v>
      </c>
      <c r="L24" s="161">
        <f t="shared" ca="1" si="3"/>
        <v>3200000</v>
      </c>
      <c r="M24" s="165">
        <f t="shared" ca="1" si="4"/>
        <v>3200000</v>
      </c>
      <c r="N24" s="169">
        <f t="shared" ca="1" si="5"/>
        <v>3200000</v>
      </c>
    </row>
    <row r="25" spans="1:14" x14ac:dyDescent="0.25">
      <c r="A25" s="87" t="s">
        <v>182</v>
      </c>
      <c r="B25" s="102" t="s">
        <v>183</v>
      </c>
      <c r="C25" s="161">
        <v>2000000</v>
      </c>
      <c r="D25" s="165">
        <v>2250000</v>
      </c>
      <c r="E25" s="169">
        <v>2500000</v>
      </c>
      <c r="F25" s="135">
        <f ca="1">SUMIF('Asientos-1'!A:P,Matriz!A25:A25,'Asientos-1'!K:K)</f>
        <v>0</v>
      </c>
      <c r="G25" s="135">
        <f ca="1">SUMIF('Asientos-1'!A:P,Matriz!A25:A25,'Asientos-1'!L:L)</f>
        <v>0</v>
      </c>
      <c r="H25" s="151">
        <f ca="1">SUMIF('Asientos-1'!A:P,Matriz!A25:A25,'Asientos-1'!M:M)</f>
        <v>0</v>
      </c>
      <c r="I25" s="151">
        <f ca="1">SUMIF('Asientos-1'!A:P,Matriz!A25:A25,'Asientos-1'!N:N)</f>
        <v>0</v>
      </c>
      <c r="J25" s="154">
        <f ca="1">SUMIF('Asientos-1'!A:P,Matriz!A25:A25,'Asientos-1'!O:O)</f>
        <v>0</v>
      </c>
      <c r="K25" s="154">
        <f ca="1">SUMIF('Asientos-1'!A:P,Matriz!A25:A25,'Asientos-1'!P:P)</f>
        <v>0</v>
      </c>
      <c r="L25" s="161">
        <f t="shared" ca="1" si="3"/>
        <v>2000000</v>
      </c>
      <c r="M25" s="165">
        <f t="shared" ca="1" si="4"/>
        <v>2250000</v>
      </c>
      <c r="N25" s="169">
        <f t="shared" ca="1" si="5"/>
        <v>2500000</v>
      </c>
    </row>
    <row r="26" spans="1:14" x14ac:dyDescent="0.25">
      <c r="A26" s="87" t="s">
        <v>264</v>
      </c>
      <c r="B26" s="102" t="s">
        <v>265</v>
      </c>
      <c r="C26" s="161">
        <v>0</v>
      </c>
      <c r="D26" s="165">
        <v>0</v>
      </c>
      <c r="E26" s="169">
        <v>0</v>
      </c>
      <c r="F26" s="135">
        <f ca="1">SUMIF('Asientos-1'!A:P,Matriz!A26:A26,'Asientos-1'!K:K)</f>
        <v>0</v>
      </c>
      <c r="G26" s="135">
        <f ca="1">SUMIF('Asientos-1'!A:P,Matriz!A26:A26,'Asientos-1'!L:L)</f>
        <v>0</v>
      </c>
      <c r="H26" s="151">
        <f ca="1">SUMIF('Asientos-1'!A:P,Matriz!A26:A26,'Asientos-1'!M:M)</f>
        <v>0</v>
      </c>
      <c r="I26" s="151">
        <f ca="1">SUMIF('Asientos-1'!A:P,Matriz!A26:A26,'Asientos-1'!N:N)</f>
        <v>0</v>
      </c>
      <c r="J26" s="154">
        <f ca="1">SUMIF('Asientos-1'!A:P,Matriz!A26:A26,'Asientos-1'!O:O)</f>
        <v>0</v>
      </c>
      <c r="K26" s="154">
        <f ca="1">SUMIF('Asientos-1'!A:P,Matriz!A26:A26,'Asientos-1'!P:P)</f>
        <v>0</v>
      </c>
      <c r="L26" s="161">
        <f t="shared" ca="1" si="3"/>
        <v>0</v>
      </c>
      <c r="M26" s="165">
        <f t="shared" ca="1" si="4"/>
        <v>0</v>
      </c>
      <c r="N26" s="169">
        <f t="shared" ca="1" si="5"/>
        <v>0</v>
      </c>
    </row>
    <row r="27" spans="1:14" x14ac:dyDescent="0.25">
      <c r="A27" s="87" t="s">
        <v>80</v>
      </c>
      <c r="B27" s="102" t="s">
        <v>173</v>
      </c>
      <c r="C27" s="163">
        <v>10321008</v>
      </c>
      <c r="D27" s="167">
        <v>10321008</v>
      </c>
      <c r="E27" s="173">
        <v>0</v>
      </c>
      <c r="F27" s="135">
        <f ca="1">SUMIF('Asientos-1'!A:P,Matriz!A27:A27,'Asientos-1'!K:K)</f>
        <v>0</v>
      </c>
      <c r="G27" s="135">
        <f ca="1">SUMIF('Asientos-1'!A:P,Matriz!A27:A27,'Asientos-1'!L:L)</f>
        <v>0</v>
      </c>
      <c r="H27" s="151">
        <f ca="1">SUMIF('Asientos-1'!A:P,Matriz!A27:A27,'Asientos-1'!M:M)</f>
        <v>0</v>
      </c>
      <c r="I27" s="151">
        <f ca="1">SUMIF('Asientos-1'!A:P,Matriz!A27:A27,'Asientos-1'!N:N)</f>
        <v>0</v>
      </c>
      <c r="J27" s="154">
        <f ca="1">SUMIF('Asientos-1'!A:P,Matriz!A27:A27,'Asientos-1'!O:O)</f>
        <v>0</v>
      </c>
      <c r="K27" s="154">
        <f ca="1">SUMIF('Asientos-1'!A:P,Matriz!A27:A27,'Asientos-1'!P:P)</f>
        <v>0</v>
      </c>
      <c r="L27" s="163">
        <f t="shared" ca="1" si="3"/>
        <v>10321008</v>
      </c>
      <c r="M27" s="167">
        <f t="shared" ca="1" si="4"/>
        <v>10321008</v>
      </c>
      <c r="N27" s="173">
        <f t="shared" ca="1" si="5"/>
        <v>0</v>
      </c>
    </row>
    <row r="28" spans="1:14" x14ac:dyDescent="0.25">
      <c r="B28" s="101" t="s">
        <v>81</v>
      </c>
      <c r="C28" s="162">
        <f>SUM(C17:C27)</f>
        <v>131684282</v>
      </c>
      <c r="D28" s="166">
        <f t="shared" ref="D28:E28" si="6">SUM(D17:D27)</f>
        <v>119395317</v>
      </c>
      <c r="E28" s="171">
        <f t="shared" si="6"/>
        <v>110167876</v>
      </c>
      <c r="F28" s="135"/>
      <c r="G28" s="135"/>
      <c r="H28" s="151"/>
      <c r="I28" s="151"/>
      <c r="J28" s="154"/>
      <c r="K28" s="154"/>
      <c r="L28" s="162">
        <f ca="1">SUM(L17:L27)</f>
        <v>130934282</v>
      </c>
      <c r="M28" s="166">
        <f t="shared" ref="M28:N28" ca="1" si="7">SUM(M17:M27)</f>
        <v>118795317</v>
      </c>
      <c r="N28" s="171">
        <f t="shared" ca="1" si="7"/>
        <v>109717876</v>
      </c>
    </row>
    <row r="29" spans="1:14" ht="7.5" customHeight="1" x14ac:dyDescent="0.25">
      <c r="B29" s="99"/>
      <c r="C29" s="147"/>
      <c r="D29" s="151"/>
      <c r="E29" s="172"/>
      <c r="F29" s="135"/>
      <c r="G29" s="135"/>
      <c r="H29" s="151"/>
      <c r="I29" s="151"/>
      <c r="J29" s="154"/>
      <c r="K29" s="154"/>
      <c r="L29" s="147"/>
      <c r="M29" s="151"/>
      <c r="N29" s="172"/>
    </row>
    <row r="30" spans="1:14" x14ac:dyDescent="0.25">
      <c r="B30" s="101" t="s">
        <v>82</v>
      </c>
      <c r="C30" s="147"/>
      <c r="D30" s="151"/>
      <c r="E30" s="172"/>
      <c r="F30" s="135"/>
      <c r="G30" s="135"/>
      <c r="H30" s="151"/>
      <c r="I30" s="151"/>
      <c r="J30" s="154"/>
      <c r="K30" s="154"/>
      <c r="L30" s="147"/>
      <c r="M30" s="151"/>
      <c r="N30" s="172"/>
    </row>
    <row r="31" spans="1:14" x14ac:dyDescent="0.25">
      <c r="B31" s="101" t="s">
        <v>83</v>
      </c>
      <c r="C31" s="147"/>
      <c r="D31" s="151"/>
      <c r="E31" s="172"/>
      <c r="F31" s="135"/>
      <c r="G31" s="135"/>
      <c r="H31" s="151"/>
      <c r="I31" s="151"/>
      <c r="J31" s="154"/>
      <c r="K31" s="154"/>
      <c r="L31" s="147"/>
      <c r="M31" s="151"/>
      <c r="N31" s="172"/>
    </row>
    <row r="32" spans="1:14" x14ac:dyDescent="0.25">
      <c r="A32" s="87" t="s">
        <v>84</v>
      </c>
      <c r="B32" s="102" t="s">
        <v>85</v>
      </c>
      <c r="C32" s="161">
        <v>1721241</v>
      </c>
      <c r="D32" s="165">
        <v>769626</v>
      </c>
      <c r="E32" s="169">
        <v>2038679</v>
      </c>
      <c r="F32" s="135">
        <f ca="1">SUMIF('Asientos-1'!A:P,Matriz!A32:A32,'Asientos-1'!K:K)</f>
        <v>0</v>
      </c>
      <c r="G32" s="135">
        <f ca="1">SUMIF('Asientos-1'!A:P,Matriz!A32:A32,'Asientos-1'!L:L)</f>
        <v>0</v>
      </c>
      <c r="H32" s="151">
        <f ca="1">SUMIF('Asientos-1'!A:P,Matriz!A32:A32,'Asientos-1'!M:M)</f>
        <v>0</v>
      </c>
      <c r="I32" s="151">
        <f ca="1">SUMIF('Asientos-1'!A:P,Matriz!A32:A32,'Asientos-1'!N:N)</f>
        <v>0</v>
      </c>
      <c r="J32" s="154">
        <f ca="1">SUMIF('Asientos-1'!A:P,Matriz!A32:A32,'Asientos-1'!O:O)</f>
        <v>0</v>
      </c>
      <c r="K32" s="154">
        <f ca="1">SUMIF('Asientos-1'!A:P,Matriz!A32:A32,'Asientos-1'!P:P)</f>
        <v>0</v>
      </c>
      <c r="L32" s="161">
        <f t="shared" ref="L32:L37" ca="1" si="8">+C32+-F32+G32</f>
        <v>1721241</v>
      </c>
      <c r="M32" s="165">
        <f t="shared" ref="M32:M37" ca="1" si="9">+D32+-H32+I32</f>
        <v>769626</v>
      </c>
      <c r="N32" s="169">
        <f t="shared" ref="N32:N37" ca="1" si="10">+E32+-J32+K32</f>
        <v>2038679</v>
      </c>
    </row>
    <row r="33" spans="1:15" x14ac:dyDescent="0.25">
      <c r="A33" s="87" t="s">
        <v>86</v>
      </c>
      <c r="B33" s="102" t="s">
        <v>87</v>
      </c>
      <c r="C33" s="161">
        <v>0</v>
      </c>
      <c r="D33" s="165">
        <v>251166</v>
      </c>
      <c r="E33" s="169">
        <v>1919321</v>
      </c>
      <c r="F33" s="135">
        <f ca="1">SUMIF('Asientos-1'!A:P,Matriz!A33:A33,'Asientos-1'!K:K)</f>
        <v>0</v>
      </c>
      <c r="G33" s="135">
        <f ca="1">SUMIF('Asientos-1'!A:P,Matriz!A33:A33,'Asientos-1'!L:L)</f>
        <v>0</v>
      </c>
      <c r="H33" s="151">
        <f ca="1">SUMIF('Asientos-1'!A:P,Matriz!A33:A33,'Asientos-1'!M:M)</f>
        <v>0</v>
      </c>
      <c r="I33" s="151">
        <f ca="1">SUMIF('Asientos-1'!A:P,Matriz!A33:A33,'Asientos-1'!N:N)</f>
        <v>0</v>
      </c>
      <c r="J33" s="154">
        <f ca="1">SUMIF('Asientos-1'!A:P,Matriz!A33:A33,'Asientos-1'!O:O)</f>
        <v>0</v>
      </c>
      <c r="K33" s="154">
        <f ca="1">SUMIF('Asientos-1'!A:P,Matriz!A33:A33,'Asientos-1'!P:P)</f>
        <v>0</v>
      </c>
      <c r="L33" s="161">
        <f t="shared" ca="1" si="8"/>
        <v>0</v>
      </c>
      <c r="M33" s="165">
        <f t="shared" ca="1" si="9"/>
        <v>251166</v>
      </c>
      <c r="N33" s="169">
        <f t="shared" ca="1" si="10"/>
        <v>1919321</v>
      </c>
    </row>
    <row r="34" spans="1:15" x14ac:dyDescent="0.25">
      <c r="A34" s="87" t="s">
        <v>169</v>
      </c>
      <c r="B34" s="102" t="s">
        <v>170</v>
      </c>
      <c r="C34" s="161">
        <v>0</v>
      </c>
      <c r="D34" s="165">
        <v>0</v>
      </c>
      <c r="E34" s="169">
        <v>0</v>
      </c>
      <c r="F34" s="135">
        <f ca="1">SUMIF('Asientos-1'!A:P,Matriz!A34:A34,'Asientos-1'!K:K)</f>
        <v>0</v>
      </c>
      <c r="G34" s="135">
        <f ca="1">SUMIF('Asientos-1'!A:P,Matriz!A34:A34,'Asientos-1'!L:L)</f>
        <v>0</v>
      </c>
      <c r="H34" s="151">
        <f ca="1">SUMIF('Asientos-1'!A:P,Matriz!A34:A34,'Asientos-1'!M:M)</f>
        <v>0</v>
      </c>
      <c r="I34" s="151">
        <f ca="1">SUMIF('Asientos-1'!A:P,Matriz!A34:A34,'Asientos-1'!N:N)</f>
        <v>0</v>
      </c>
      <c r="J34" s="154">
        <f ca="1">SUMIF('Asientos-1'!A:P,Matriz!A34:A34,'Asientos-1'!O:O)</f>
        <v>0</v>
      </c>
      <c r="K34" s="154">
        <f ca="1">SUMIF('Asientos-1'!A:P,Matriz!A34:A34,'Asientos-1'!P:P)</f>
        <v>0</v>
      </c>
      <c r="L34" s="161">
        <f t="shared" ca="1" si="8"/>
        <v>0</v>
      </c>
      <c r="M34" s="165">
        <f t="shared" ca="1" si="9"/>
        <v>0</v>
      </c>
      <c r="N34" s="169">
        <f t="shared" ca="1" si="10"/>
        <v>0</v>
      </c>
    </row>
    <row r="35" spans="1:15" x14ac:dyDescent="0.25">
      <c r="A35" s="87" t="s">
        <v>88</v>
      </c>
      <c r="B35" s="102" t="s">
        <v>89</v>
      </c>
      <c r="C35" s="161">
        <v>11267523</v>
      </c>
      <c r="D35" s="165">
        <v>10193875</v>
      </c>
      <c r="E35" s="169">
        <v>9590734</v>
      </c>
      <c r="F35" s="135">
        <f ca="1">SUMIF('Asientos-1'!A:P,Matriz!A35:A35,'Asientos-1'!K:K)</f>
        <v>0</v>
      </c>
      <c r="G35" s="135">
        <f ca="1">SUMIF('Asientos-1'!A:P,Matriz!A35:A35,'Asientos-1'!L:L)</f>
        <v>0</v>
      </c>
      <c r="H35" s="151">
        <f ca="1">SUMIF('Asientos-1'!A:P,Matriz!A35:A35,'Asientos-1'!M:M)</f>
        <v>0</v>
      </c>
      <c r="I35" s="151">
        <f ca="1">SUMIF('Asientos-1'!A:P,Matriz!A35:A35,'Asientos-1'!N:N)</f>
        <v>0</v>
      </c>
      <c r="J35" s="154">
        <f ca="1">SUMIF('Asientos-1'!A:P,Matriz!A35:A35,'Asientos-1'!O:O)</f>
        <v>0</v>
      </c>
      <c r="K35" s="154">
        <f ca="1">SUMIF('Asientos-1'!A:P,Matriz!A35:A35,'Asientos-1'!P:P)</f>
        <v>0</v>
      </c>
      <c r="L35" s="161">
        <f t="shared" ca="1" si="8"/>
        <v>11267523</v>
      </c>
      <c r="M35" s="165">
        <f t="shared" ca="1" si="9"/>
        <v>10193875</v>
      </c>
      <c r="N35" s="169">
        <f t="shared" ca="1" si="10"/>
        <v>9590734</v>
      </c>
    </row>
    <row r="36" spans="1:15" x14ac:dyDescent="0.25">
      <c r="A36" s="87" t="s">
        <v>90</v>
      </c>
      <c r="B36" s="102" t="s">
        <v>91</v>
      </c>
      <c r="C36" s="161">
        <v>0</v>
      </c>
      <c r="D36" s="165">
        <v>0</v>
      </c>
      <c r="E36" s="169">
        <v>0</v>
      </c>
      <c r="F36" s="135">
        <f ca="1">SUMIF('Asientos-1'!A:P,Matriz!A36:A36,'Asientos-1'!K:K)</f>
        <v>0</v>
      </c>
      <c r="G36" s="135">
        <f ca="1">SUMIF('Asientos-1'!A:P,Matriz!A36:A36,'Asientos-1'!L:L)</f>
        <v>0</v>
      </c>
      <c r="H36" s="151">
        <f ca="1">SUMIF('Asientos-1'!A:P,Matriz!A36:A36,'Asientos-1'!M:M)</f>
        <v>0</v>
      </c>
      <c r="I36" s="151">
        <f ca="1">SUMIF('Asientos-1'!A:P,Matriz!A36:A36,'Asientos-1'!N:N)</f>
        <v>0</v>
      </c>
      <c r="J36" s="154">
        <f ca="1">SUMIF('Asientos-1'!A:P,Matriz!A36:A36,'Asientos-1'!O:O)</f>
        <v>0</v>
      </c>
      <c r="K36" s="154">
        <f ca="1">SUMIF('Asientos-1'!A:P,Matriz!A36:A36,'Asientos-1'!P:P)</f>
        <v>0</v>
      </c>
      <c r="L36" s="161">
        <f t="shared" ca="1" si="8"/>
        <v>0</v>
      </c>
      <c r="M36" s="165">
        <f t="shared" ca="1" si="9"/>
        <v>0</v>
      </c>
      <c r="N36" s="169">
        <f t="shared" ca="1" si="10"/>
        <v>0</v>
      </c>
    </row>
    <row r="37" spans="1:15" x14ac:dyDescent="0.25">
      <c r="A37" s="87" t="s">
        <v>92</v>
      </c>
      <c r="B37" s="102" t="s">
        <v>93</v>
      </c>
      <c r="C37" s="163">
        <v>1191578</v>
      </c>
      <c r="D37" s="167">
        <v>1197295</v>
      </c>
      <c r="E37" s="173">
        <v>200000</v>
      </c>
      <c r="F37" s="135">
        <f ca="1">SUMIF('Asientos-1'!A:P,Matriz!A37:A37,'Asientos-1'!K:K)</f>
        <v>0</v>
      </c>
      <c r="G37" s="135">
        <f ca="1">SUMIF('Asientos-1'!A:P,Matriz!A37:A37,'Asientos-1'!L:L)</f>
        <v>0</v>
      </c>
      <c r="H37" s="151">
        <f ca="1">SUMIF('Asientos-1'!A:P,Matriz!A37:A37,'Asientos-1'!M:M)</f>
        <v>0</v>
      </c>
      <c r="I37" s="151">
        <f ca="1">SUMIF('Asientos-1'!A:P,Matriz!A37:A37,'Asientos-1'!N:N)</f>
        <v>0</v>
      </c>
      <c r="J37" s="154">
        <f ca="1">SUMIF('Asientos-1'!A:P,Matriz!A37:A37,'Asientos-1'!O:O)</f>
        <v>0</v>
      </c>
      <c r="K37" s="154">
        <f ca="1">SUMIF('Asientos-1'!A:P,Matriz!A37:A37,'Asientos-1'!P:P)</f>
        <v>0</v>
      </c>
      <c r="L37" s="163">
        <f t="shared" ca="1" si="8"/>
        <v>1191578</v>
      </c>
      <c r="M37" s="167">
        <f t="shared" ca="1" si="9"/>
        <v>1197295</v>
      </c>
      <c r="N37" s="173">
        <f t="shared" ca="1" si="10"/>
        <v>200000</v>
      </c>
    </row>
    <row r="38" spans="1:15" x14ac:dyDescent="0.25">
      <c r="B38" s="101" t="s">
        <v>172</v>
      </c>
      <c r="C38" s="162">
        <f>SUM(C32:C37)</f>
        <v>14180342</v>
      </c>
      <c r="D38" s="166">
        <f t="shared" ref="D38:E38" si="11">SUM(D32:D37)</f>
        <v>12411962</v>
      </c>
      <c r="E38" s="171">
        <f t="shared" si="11"/>
        <v>13748734</v>
      </c>
      <c r="F38" s="135"/>
      <c r="G38" s="135"/>
      <c r="H38" s="151"/>
      <c r="I38" s="151"/>
      <c r="J38" s="154"/>
      <c r="K38" s="154"/>
      <c r="L38" s="162">
        <f ca="1">SUM(L32:L37)</f>
        <v>14180342</v>
      </c>
      <c r="M38" s="166">
        <f t="shared" ref="M38:N38" ca="1" si="12">SUM(M32:M37)</f>
        <v>12411962</v>
      </c>
      <c r="N38" s="171">
        <f t="shared" ca="1" si="12"/>
        <v>13748734</v>
      </c>
    </row>
    <row r="39" spans="1:15" ht="3.75" customHeight="1" x14ac:dyDescent="0.25">
      <c r="B39" s="99"/>
      <c r="C39" s="147"/>
      <c r="D39" s="151"/>
      <c r="E39" s="172"/>
      <c r="F39" s="135"/>
      <c r="G39" s="135"/>
      <c r="H39" s="151"/>
      <c r="I39" s="151"/>
      <c r="J39" s="154"/>
      <c r="K39" s="154"/>
      <c r="L39" s="147"/>
      <c r="M39" s="151"/>
      <c r="N39" s="172"/>
    </row>
    <row r="40" spans="1:15" x14ac:dyDescent="0.25">
      <c r="A40" s="87" t="s">
        <v>181</v>
      </c>
      <c r="B40" s="102" t="s">
        <v>171</v>
      </c>
      <c r="C40" s="163">
        <f>ROUND('Asientos-1'!E359,0)</f>
        <v>716979</v>
      </c>
      <c r="D40" s="167">
        <f>ROUND('Asientos-1'!F359,0)</f>
        <v>1368778</v>
      </c>
      <c r="E40" s="173">
        <f>ROUND('Asientos-1'!G359,0)</f>
        <v>1961323</v>
      </c>
      <c r="F40" s="135">
        <f ca="1">SUMIF('Asientos-1'!A:P,Matriz!A40:A40,'Asientos-1'!K:K)</f>
        <v>0</v>
      </c>
      <c r="G40" s="135">
        <f ca="1">SUMIF('Asientos-1'!A:P,Matriz!A40:A40,'Asientos-1'!L:L)</f>
        <v>0</v>
      </c>
      <c r="H40" s="151">
        <f ca="1">SUMIF('Asientos-1'!A:P,Matriz!A40:A40,'Asientos-1'!M:M)</f>
        <v>0</v>
      </c>
      <c r="I40" s="151">
        <f ca="1">SUMIF('Asientos-1'!A:P,Matriz!A40:A40,'Asientos-1'!N:N)</f>
        <v>0</v>
      </c>
      <c r="J40" s="154">
        <f ca="1">SUMIF('Asientos-1'!A:P,Matriz!A40:A40,'Asientos-1'!O:O)</f>
        <v>0</v>
      </c>
      <c r="K40" s="154">
        <f ca="1">SUMIF('Asientos-1'!A:P,Matriz!A40:A40,'Asientos-1'!P:P)</f>
        <v>0</v>
      </c>
      <c r="L40" s="163">
        <f ca="1">+C40+-F40+G40</f>
        <v>716979</v>
      </c>
      <c r="M40" s="167">
        <f ca="1">+D40+-H40+I40</f>
        <v>1368778</v>
      </c>
      <c r="N40" s="173">
        <f ca="1">+E40+-J40+K40</f>
        <v>1961323</v>
      </c>
    </row>
    <row r="41" spans="1:15" x14ac:dyDescent="0.25">
      <c r="B41" s="101" t="s">
        <v>94</v>
      </c>
      <c r="C41" s="162">
        <f>SUM(C38:C40)</f>
        <v>14897321</v>
      </c>
      <c r="D41" s="166">
        <f t="shared" ref="D41:E41" si="13">SUM(D38:D40)</f>
        <v>13780740</v>
      </c>
      <c r="E41" s="171">
        <f t="shared" si="13"/>
        <v>15710057</v>
      </c>
      <c r="F41" s="135"/>
      <c r="G41" s="135"/>
      <c r="H41" s="151"/>
      <c r="I41" s="151"/>
      <c r="J41" s="154"/>
      <c r="K41" s="154"/>
      <c r="L41" s="162">
        <f t="shared" ref="L41" ca="1" si="14">SUM(L38:L40)</f>
        <v>14897321</v>
      </c>
      <c r="M41" s="166">
        <f t="shared" ref="M41" ca="1" si="15">SUM(M38:M40)</f>
        <v>13780740</v>
      </c>
      <c r="N41" s="171">
        <f t="shared" ref="N41" ca="1" si="16">SUM(N38:N40)</f>
        <v>15710057</v>
      </c>
    </row>
    <row r="42" spans="1:15" ht="2.25" customHeight="1" x14ac:dyDescent="0.25">
      <c r="B42" s="99"/>
      <c r="C42" s="147"/>
      <c r="D42" s="151"/>
      <c r="E42" s="172"/>
      <c r="F42" s="135"/>
      <c r="G42" s="135"/>
      <c r="H42" s="151"/>
      <c r="I42" s="151"/>
      <c r="J42" s="154"/>
      <c r="K42" s="154"/>
      <c r="L42" s="147"/>
      <c r="M42" s="151"/>
      <c r="N42" s="172"/>
    </row>
    <row r="43" spans="1:15" hidden="1" x14ac:dyDescent="0.25">
      <c r="B43" s="99"/>
      <c r="C43" s="147"/>
      <c r="D43" s="151"/>
      <c r="E43" s="172"/>
      <c r="F43" s="135"/>
      <c r="G43" s="135"/>
      <c r="H43" s="151"/>
      <c r="I43" s="151"/>
      <c r="J43" s="154"/>
      <c r="K43" s="154"/>
      <c r="L43" s="147"/>
      <c r="M43" s="151"/>
      <c r="N43" s="172"/>
    </row>
    <row r="44" spans="1:15" x14ac:dyDescent="0.25">
      <c r="B44" s="101" t="s">
        <v>95</v>
      </c>
      <c r="C44" s="147"/>
      <c r="D44" s="151"/>
      <c r="E44" s="172"/>
      <c r="F44" s="135"/>
      <c r="G44" s="135"/>
      <c r="H44" s="151"/>
      <c r="I44" s="151"/>
      <c r="J44" s="154"/>
      <c r="K44" s="154"/>
      <c r="L44" s="147"/>
      <c r="M44" s="151"/>
      <c r="N44" s="172"/>
    </row>
    <row r="45" spans="1:15" ht="16.5" thickBot="1" x14ac:dyDescent="0.3">
      <c r="A45" s="87" t="s">
        <v>96</v>
      </c>
      <c r="B45" s="102" t="s">
        <v>97</v>
      </c>
      <c r="C45" s="164">
        <v>24956792</v>
      </c>
      <c r="D45" s="165">
        <f>24956792</f>
        <v>24956792</v>
      </c>
      <c r="E45" s="169">
        <v>24956792</v>
      </c>
      <c r="F45" s="135">
        <f ca="1">SUMIF('Asientos-1'!A:P,Matriz!A45:A45,'Asientos-1'!K:K)</f>
        <v>0</v>
      </c>
      <c r="G45" s="135">
        <f ca="1">SUMIF('Asientos-1'!A:P,Matriz!A45:A45,'Asientos-1'!L:L)</f>
        <v>0</v>
      </c>
      <c r="H45" s="151">
        <f ca="1">SUMIF('Asientos-1'!A:P,Matriz!A45:A45,'Asientos-1'!M:M)</f>
        <v>0</v>
      </c>
      <c r="I45" s="151">
        <f ca="1">SUMIF('Asientos-1'!A:P,Matriz!A45:A45,'Asientos-1'!N:N)</f>
        <v>0</v>
      </c>
      <c r="J45" s="154">
        <f ca="1">SUMIF('Asientos-1'!A:P,Matriz!A45:A45,'Asientos-1'!O:O)</f>
        <v>0</v>
      </c>
      <c r="K45" s="154">
        <f ca="1">SUMIF('Asientos-1'!A:P,Matriz!A45:A45,'Asientos-1'!P:P)</f>
        <v>0</v>
      </c>
      <c r="L45" s="164">
        <f ca="1">+C45+-F45+G45</f>
        <v>24956792</v>
      </c>
      <c r="M45" s="165">
        <f ca="1">+D45+-H45+I45</f>
        <v>24956792</v>
      </c>
      <c r="N45" s="169">
        <f ca="1">+E45+-J45+K45</f>
        <v>24956792</v>
      </c>
    </row>
    <row r="46" spans="1:15" ht="16.5" thickBot="1" x14ac:dyDescent="0.3">
      <c r="A46" s="87" t="s">
        <v>98</v>
      </c>
      <c r="B46" s="421" t="s">
        <v>99</v>
      </c>
      <c r="C46" s="422">
        <f>101228482-23000000+1244344</f>
        <v>79472826</v>
      </c>
      <c r="D46" s="422">
        <f>69240392+592545</f>
        <v>69832937</v>
      </c>
      <c r="E46" s="423">
        <v>69501027</v>
      </c>
      <c r="F46" s="470">
        <f ca="1">SUMIF('Asientos-1'!A:P,Matriz!A46:A46,'Asientos-1'!K:K)</f>
        <v>600000</v>
      </c>
      <c r="G46" s="470">
        <f ca="1">SUMIF('Asientos-1'!A:P,Matriz!A46:A46,'Asientos-1'!L:L)</f>
        <v>0</v>
      </c>
      <c r="H46" s="424">
        <f ca="1">SUMIF('Asientos-1'!A:P,Matriz!A46:A46,'Asientos-1'!M:M)</f>
        <v>450000</v>
      </c>
      <c r="I46" s="424">
        <f ca="1">SUMIF('Asientos-1'!A:P,Matriz!A46:A46,'Asientos-1'!N:N)</f>
        <v>0</v>
      </c>
      <c r="J46" s="424">
        <f ca="1">SUMIF('Asientos-1'!A:P,Matriz!A46:A46,'Asientos-1'!O:O)</f>
        <v>450000</v>
      </c>
      <c r="K46" s="424">
        <f ca="1">SUMIF('Asientos-1'!A:P,Matriz!A46:A46,'Asientos-1'!P:P)</f>
        <v>0</v>
      </c>
      <c r="L46" s="422">
        <f ca="1">+C46+-F46+G46</f>
        <v>78872826</v>
      </c>
      <c r="M46" s="422">
        <f ca="1">+D46+-H46+I46</f>
        <v>69382937</v>
      </c>
      <c r="N46" s="425">
        <f ca="1">+E46+-J46+K46</f>
        <v>69051027</v>
      </c>
      <c r="O46" s="19"/>
    </row>
    <row r="47" spans="1:15" ht="16.5" thickBot="1" x14ac:dyDescent="0.3">
      <c r="A47" s="87" t="s">
        <v>145</v>
      </c>
      <c r="B47" s="102" t="s">
        <v>144</v>
      </c>
      <c r="C47" s="164">
        <v>0</v>
      </c>
      <c r="D47" s="165">
        <v>0</v>
      </c>
      <c r="E47" s="169">
        <v>0</v>
      </c>
      <c r="F47" s="135">
        <f ca="1">SUMIF('Asientos-1'!A:P,Matriz!A47:A47,'Asientos-1'!K:K)</f>
        <v>0</v>
      </c>
      <c r="G47" s="135">
        <f ca="1">SUMIF('Asientos-1'!A:P,Matriz!A47:A47,'Asientos-1'!L:L)</f>
        <v>0</v>
      </c>
      <c r="H47" s="151">
        <f ca="1">SUMIF('Asientos-1'!A:P,Matriz!A47:A47,'Asientos-1'!M:M)</f>
        <v>0</v>
      </c>
      <c r="I47" s="151">
        <f ca="1">SUMIF('Asientos-1'!A:P,Matriz!A47:A47,'Asientos-1'!N:N)</f>
        <v>0</v>
      </c>
      <c r="J47" s="154">
        <f ca="1">SUMIF('Asientos-1'!A:P,Matriz!A47:A47,'Asientos-1'!O:O)</f>
        <v>0</v>
      </c>
      <c r="K47" s="154">
        <f ca="1">SUMIF('Asientos-1'!A:P,Matriz!A47:A47,'Asientos-1'!P:P)</f>
        <v>0</v>
      </c>
      <c r="L47" s="164">
        <f ca="1">+C47+-F47+G47</f>
        <v>0</v>
      </c>
      <c r="M47" s="165">
        <f ca="1">+D47+-H47+I47</f>
        <v>0</v>
      </c>
      <c r="N47" s="169">
        <f ca="1">+E47+-J47+K47</f>
        <v>0</v>
      </c>
    </row>
    <row r="48" spans="1:15" ht="16.5" thickBot="1" x14ac:dyDescent="0.3">
      <c r="B48" s="421" t="s">
        <v>100</v>
      </c>
      <c r="C48" s="422">
        <v>12357343</v>
      </c>
      <c r="D48" s="422">
        <v>10824848</v>
      </c>
      <c r="E48" s="423">
        <v>0</v>
      </c>
      <c r="F48" s="470">
        <f ca="1">+F77</f>
        <v>150000</v>
      </c>
      <c r="G48" s="470">
        <f t="shared" ref="G48:K48" ca="1" si="17">+G77</f>
        <v>0</v>
      </c>
      <c r="H48" s="424">
        <f t="shared" ca="1" si="17"/>
        <v>150000</v>
      </c>
      <c r="I48" s="424">
        <f t="shared" ca="1" si="17"/>
        <v>0</v>
      </c>
      <c r="J48" s="424">
        <f t="shared" si="17"/>
        <v>0</v>
      </c>
      <c r="K48" s="424">
        <f t="shared" si="17"/>
        <v>0</v>
      </c>
      <c r="L48" s="422">
        <f ca="1">+C48+-F48+G48</f>
        <v>12207343</v>
      </c>
      <c r="M48" s="422">
        <f ca="1">+D48+-H48+I48</f>
        <v>10674848</v>
      </c>
      <c r="N48" s="425">
        <f>+E48+-J48+K48</f>
        <v>0</v>
      </c>
    </row>
    <row r="49" spans="1:14" x14ac:dyDescent="0.25">
      <c r="B49" s="101" t="s">
        <v>101</v>
      </c>
      <c r="C49" s="162">
        <f>SUM(C45:C48)</f>
        <v>116786961</v>
      </c>
      <c r="D49" s="166">
        <f t="shared" ref="D49:E49" si="18">SUM(D45:D48)</f>
        <v>105614577</v>
      </c>
      <c r="E49" s="171">
        <f t="shared" si="18"/>
        <v>94457819</v>
      </c>
      <c r="F49" s="135"/>
      <c r="G49" s="135"/>
      <c r="H49" s="151"/>
      <c r="I49" s="151"/>
      <c r="J49" s="154"/>
      <c r="K49" s="154"/>
      <c r="L49" s="162">
        <f ca="1">SUM(L45:L48)</f>
        <v>116036961</v>
      </c>
      <c r="M49" s="166">
        <f t="shared" ref="M49" ca="1" si="19">SUM(M45:M48)</f>
        <v>105014577</v>
      </c>
      <c r="N49" s="171">
        <f t="shared" ref="N49" ca="1" si="20">SUM(N45:N48)</f>
        <v>94007819</v>
      </c>
    </row>
    <row r="50" spans="1:14" x14ac:dyDescent="0.25">
      <c r="B50" s="105" t="s">
        <v>102</v>
      </c>
      <c r="C50" s="162">
        <f>+C49+C41</f>
        <v>131684282</v>
      </c>
      <c r="D50" s="166">
        <f t="shared" ref="D50:E50" si="21">+D49+D41</f>
        <v>119395317</v>
      </c>
      <c r="E50" s="171">
        <f t="shared" si="21"/>
        <v>110167876</v>
      </c>
      <c r="F50" s="133"/>
      <c r="G50" s="133"/>
      <c r="H50" s="152"/>
      <c r="I50" s="152"/>
      <c r="J50" s="155"/>
      <c r="K50" s="155"/>
      <c r="L50" s="162">
        <f t="shared" ref="L50:N50" ca="1" si="22">+L49+L41</f>
        <v>130934282</v>
      </c>
      <c r="M50" s="166">
        <f t="shared" ref="M50" ca="1" si="23">+M49+M41</f>
        <v>118795317</v>
      </c>
      <c r="N50" s="171">
        <f t="shared" ca="1" si="22"/>
        <v>109717876</v>
      </c>
    </row>
    <row r="51" spans="1:14" ht="16.5" thickBot="1" x14ac:dyDescent="0.3">
      <c r="C51" s="426">
        <f>+C28-C50</f>
        <v>0</v>
      </c>
      <c r="D51" s="426">
        <f>+D28-D50</f>
        <v>0</v>
      </c>
      <c r="E51" s="426">
        <f>+E28-E50</f>
        <v>0</v>
      </c>
      <c r="F51" s="93">
        <f ca="1">SUM(F9:F50)</f>
        <v>750000</v>
      </c>
      <c r="G51" s="93">
        <f t="shared" ref="G51:K51" ca="1" si="24">SUM(G9:G50)</f>
        <v>750000</v>
      </c>
      <c r="H51" s="93">
        <f t="shared" ca="1" si="24"/>
        <v>600000</v>
      </c>
      <c r="I51" s="93">
        <f t="shared" ca="1" si="24"/>
        <v>600000</v>
      </c>
      <c r="J51" s="93">
        <f t="shared" ca="1" si="24"/>
        <v>450000</v>
      </c>
      <c r="K51" s="93">
        <f t="shared" ca="1" si="24"/>
        <v>450000</v>
      </c>
      <c r="L51" s="426">
        <f ca="1">+L28-L50</f>
        <v>0</v>
      </c>
      <c r="M51" s="426">
        <f ca="1">+M28-M50</f>
        <v>0</v>
      </c>
      <c r="N51" s="426">
        <f ca="1">+N28-N50</f>
        <v>0</v>
      </c>
    </row>
    <row r="52" spans="1:14" x14ac:dyDescent="0.25">
      <c r="F52" s="88"/>
      <c r="G52" s="88">
        <f ca="1">+F51-G51</f>
        <v>0</v>
      </c>
      <c r="H52" s="88"/>
      <c r="I52" s="88">
        <f ca="1">+H51-I51</f>
        <v>0</v>
      </c>
      <c r="J52" s="88"/>
      <c r="K52" s="88">
        <f ca="1">+J51-K51</f>
        <v>0</v>
      </c>
    </row>
    <row r="53" spans="1:14" x14ac:dyDescent="0.25">
      <c r="A53" s="85" t="s">
        <v>272</v>
      </c>
    </row>
    <row r="54" spans="1:14" x14ac:dyDescent="0.25">
      <c r="A54" s="85" t="s">
        <v>268</v>
      </c>
    </row>
    <row r="55" spans="1:14" x14ac:dyDescent="0.25">
      <c r="B55" s="98"/>
      <c r="C55" s="146">
        <v>2025</v>
      </c>
      <c r="D55" s="142">
        <v>2024</v>
      </c>
      <c r="E55" s="138"/>
      <c r="F55" s="146">
        <v>2025</v>
      </c>
      <c r="G55" s="146">
        <v>2025</v>
      </c>
      <c r="H55" s="142">
        <v>2024</v>
      </c>
      <c r="I55" s="142">
        <v>2024</v>
      </c>
      <c r="J55" s="138"/>
      <c r="K55" s="138"/>
      <c r="L55" s="146">
        <v>2025</v>
      </c>
      <c r="M55" s="185">
        <v>2024</v>
      </c>
    </row>
    <row r="56" spans="1:14" x14ac:dyDescent="0.25">
      <c r="B56" s="99"/>
      <c r="C56" s="175" t="s">
        <v>54</v>
      </c>
      <c r="D56" s="471" t="s">
        <v>54</v>
      </c>
      <c r="E56" s="139"/>
      <c r="F56" s="175" t="s">
        <v>54</v>
      </c>
      <c r="G56" s="175" t="s">
        <v>54</v>
      </c>
      <c r="H56" s="471" t="s">
        <v>54</v>
      </c>
      <c r="I56" s="471" t="s">
        <v>54</v>
      </c>
      <c r="J56" s="139"/>
      <c r="K56" s="139"/>
      <c r="L56" s="175" t="s">
        <v>54</v>
      </c>
      <c r="M56" s="186" t="s">
        <v>54</v>
      </c>
    </row>
    <row r="57" spans="1:14" x14ac:dyDescent="0.25">
      <c r="B57" s="99"/>
      <c r="C57" s="203" t="s">
        <v>56</v>
      </c>
      <c r="D57" s="203" t="s">
        <v>56</v>
      </c>
      <c r="E57" s="139"/>
      <c r="F57" s="472" t="s">
        <v>57</v>
      </c>
      <c r="G57" s="472" t="s">
        <v>58</v>
      </c>
      <c r="H57" s="473" t="s">
        <v>57</v>
      </c>
      <c r="I57" s="473" t="s">
        <v>58</v>
      </c>
      <c r="J57" s="139"/>
      <c r="K57" s="139"/>
      <c r="L57" s="201" t="s">
        <v>50</v>
      </c>
      <c r="M57" s="202" t="s">
        <v>50</v>
      </c>
    </row>
    <row r="58" spans="1:14" x14ac:dyDescent="0.25">
      <c r="B58" s="101"/>
      <c r="C58" s="147"/>
      <c r="D58" s="143"/>
      <c r="E58" s="139"/>
      <c r="F58" s="147"/>
      <c r="G58" s="147"/>
      <c r="H58" s="143"/>
      <c r="I58" s="143"/>
      <c r="J58" s="139"/>
      <c r="K58" s="139"/>
      <c r="L58" s="147"/>
      <c r="M58" s="187"/>
    </row>
    <row r="59" spans="1:14" x14ac:dyDescent="0.25">
      <c r="B59" s="101"/>
      <c r="C59" s="147"/>
      <c r="D59" s="143"/>
      <c r="E59" s="139"/>
      <c r="F59" s="147"/>
      <c r="G59" s="147"/>
      <c r="H59" s="143"/>
      <c r="I59" s="143"/>
      <c r="J59" s="139"/>
      <c r="K59" s="139"/>
      <c r="L59" s="147"/>
      <c r="M59" s="187"/>
    </row>
    <row r="60" spans="1:14" x14ac:dyDescent="0.25">
      <c r="A60" s="87" t="s">
        <v>103</v>
      </c>
      <c r="B60" s="102" t="s">
        <v>132</v>
      </c>
      <c r="C60" s="147">
        <v>86348845</v>
      </c>
      <c r="D60" s="143">
        <v>77738972</v>
      </c>
      <c r="E60" s="139"/>
      <c r="F60" s="147">
        <f ca="1">SUMIF('Asientos-1'!A:P,Matriz!A60:A60,'Asientos-1'!K:K)</f>
        <v>0</v>
      </c>
      <c r="G60" s="147">
        <f ca="1">SUMIF('Asientos-1'!A:P,Matriz!A60:A60,'Asientos-1'!L:L)</f>
        <v>0</v>
      </c>
      <c r="H60" s="143">
        <f ca="1">SUMIF('Asientos-1'!A:P,Matriz!A60:A60,'Asientos-1'!M:M)</f>
        <v>0</v>
      </c>
      <c r="I60" s="143">
        <f ca="1">SUMIF('Asientos-1'!A:P,Matriz!A60:A60,'Asientos-1'!N:N)</f>
        <v>0</v>
      </c>
      <c r="J60" s="139"/>
      <c r="K60" s="139"/>
      <c r="L60" s="147">
        <f ca="1">+C60+G60-F60</f>
        <v>86348845</v>
      </c>
      <c r="M60" s="187">
        <f ca="1">+D60+I60-H60</f>
        <v>77738972</v>
      </c>
    </row>
    <row r="61" spans="1:14" ht="16.5" thickBot="1" x14ac:dyDescent="0.3">
      <c r="A61" s="87" t="s">
        <v>165</v>
      </c>
      <c r="B61" s="102" t="s">
        <v>370</v>
      </c>
      <c r="C61" s="147">
        <v>0</v>
      </c>
      <c r="D61" s="143">
        <v>0</v>
      </c>
      <c r="E61" s="139"/>
      <c r="F61" s="147">
        <f ca="1">SUMIF('Asientos-1'!A:P,Matriz!A61:A61,'Asientos-1'!K:K)</f>
        <v>0</v>
      </c>
      <c r="G61" s="147">
        <f ca="1">SUMIF('Asientos-1'!A:P,Matriz!A61:A61,'Asientos-1'!L:L)</f>
        <v>0</v>
      </c>
      <c r="H61" s="143">
        <f ca="1">SUMIF('Asientos-1'!A:P,Matriz!A61:A61,'Asientos-1'!M:M)</f>
        <v>0</v>
      </c>
      <c r="I61" s="143">
        <f ca="1">SUMIF('Asientos-1'!A:P,Matriz!A61:A61,'Asientos-1'!N:N)</f>
        <v>0</v>
      </c>
      <c r="J61" s="139"/>
      <c r="K61" s="139"/>
      <c r="L61" s="147">
        <f ca="1">+C61+G61-F61</f>
        <v>0</v>
      </c>
      <c r="M61" s="187">
        <f ca="1">+D61+I61-H61</f>
        <v>0</v>
      </c>
    </row>
    <row r="62" spans="1:14" ht="16.5" thickBot="1" x14ac:dyDescent="0.3">
      <c r="A62" s="87" t="s">
        <v>104</v>
      </c>
      <c r="B62" s="474" t="s">
        <v>434</v>
      </c>
      <c r="C62" s="422">
        <v>-35324624</v>
      </c>
      <c r="D62" s="422">
        <v>-32655063</v>
      </c>
      <c r="E62" s="423"/>
      <c r="F62" s="470">
        <f ca="1">SUMIF('Asientos-1'!A:P,Matriz!A62:A62,'Asientos-1'!K:K)</f>
        <v>150000</v>
      </c>
      <c r="G62" s="470">
        <f ca="1">SUMIF('Asientos-1'!A:P,Matriz!A62:A62,'Asientos-1'!L:L)</f>
        <v>0</v>
      </c>
      <c r="H62" s="424">
        <f ca="1">SUMIF('Asientos-1'!A:P,Matriz!A62:A62,'Asientos-1'!M:M)</f>
        <v>150000</v>
      </c>
      <c r="I62" s="424">
        <f ca="1">SUMIF('Asientos-1'!A:P,Matriz!A62:A62,'Asientos-1'!N:N)</f>
        <v>0</v>
      </c>
      <c r="J62" s="424"/>
      <c r="K62" s="424"/>
      <c r="L62" s="422">
        <f ca="1">+C62+G62-F62</f>
        <v>-35474624</v>
      </c>
      <c r="M62" s="423">
        <f ca="1">+D62+I62-H62</f>
        <v>-32805063</v>
      </c>
    </row>
    <row r="63" spans="1:14" x14ac:dyDescent="0.25">
      <c r="B63" s="105" t="s">
        <v>105</v>
      </c>
      <c r="C63" s="148">
        <f>SUM(C60:C62)</f>
        <v>51024221</v>
      </c>
      <c r="D63" s="144">
        <f>SUM(D60:D62)</f>
        <v>45083909</v>
      </c>
      <c r="E63" s="140"/>
      <c r="F63" s="148"/>
      <c r="G63" s="148"/>
      <c r="H63" s="144"/>
      <c r="I63" s="144"/>
      <c r="J63" s="140"/>
      <c r="K63" s="140"/>
      <c r="L63" s="148">
        <f t="shared" ref="L63:M63" ca="1" si="25">SUM(L60:L62)</f>
        <v>50874221</v>
      </c>
      <c r="M63" s="188">
        <f t="shared" ca="1" si="25"/>
        <v>44933909</v>
      </c>
    </row>
    <row r="64" spans="1:14" x14ac:dyDescent="0.25">
      <c r="B64" s="99"/>
      <c r="C64" s="147"/>
      <c r="D64" s="143"/>
      <c r="E64" s="139"/>
      <c r="F64" s="147"/>
      <c r="G64" s="147"/>
      <c r="H64" s="143"/>
      <c r="I64" s="143"/>
      <c r="J64" s="139"/>
      <c r="K64" s="139"/>
      <c r="L64" s="147"/>
      <c r="M64" s="187"/>
    </row>
    <row r="65" spans="1:13" x14ac:dyDescent="0.25">
      <c r="A65" s="87" t="s">
        <v>106</v>
      </c>
      <c r="B65" s="102" t="s">
        <v>107</v>
      </c>
      <c r="C65" s="147">
        <v>-10604338</v>
      </c>
      <c r="D65" s="143">
        <v>-10421188</v>
      </c>
      <c r="E65" s="139"/>
      <c r="F65" s="147">
        <f ca="1">SUMIF('Asientos-1'!A:P,Matriz!A65:A65,'Asientos-1'!K:K)</f>
        <v>0</v>
      </c>
      <c r="G65" s="147">
        <f ca="1">SUMIF('Asientos-1'!A:P,Matriz!A65:A65,'Asientos-1'!L:L)</f>
        <v>0</v>
      </c>
      <c r="H65" s="143">
        <f ca="1">SUMIF('Asientos-1'!A:P,Matriz!A65:A65,'Asientos-1'!M:M)</f>
        <v>0</v>
      </c>
      <c r="I65" s="143">
        <f ca="1">SUMIF('Asientos-1'!A:P,Matriz!A65:A65,'Asientos-1'!N:N)</f>
        <v>0</v>
      </c>
      <c r="J65" s="139"/>
      <c r="K65" s="139"/>
      <c r="L65" s="147">
        <f ca="1">+C65+G65-F65</f>
        <v>-10604338</v>
      </c>
      <c r="M65" s="187">
        <f ca="1">+D65+I65-H65</f>
        <v>-10421188</v>
      </c>
    </row>
    <row r="66" spans="1:13" x14ac:dyDescent="0.25">
      <c r="A66" s="87" t="s">
        <v>108</v>
      </c>
      <c r="B66" s="102" t="s">
        <v>109</v>
      </c>
      <c r="C66" s="147">
        <v>-11749370</v>
      </c>
      <c r="D66" s="143">
        <v>-9167285</v>
      </c>
      <c r="E66" s="139"/>
      <c r="F66" s="147">
        <f ca="1">SUMIF('Asientos-1'!A:P,Matriz!A66:A66,'Asientos-1'!K:K)</f>
        <v>0</v>
      </c>
      <c r="G66" s="147">
        <f ca="1">SUMIF('Asientos-1'!A:P,Matriz!A66:A66,'Asientos-1'!L:L)</f>
        <v>0</v>
      </c>
      <c r="H66" s="143">
        <f ca="1">SUMIF('Asientos-1'!A:P,Matriz!A66:A66,'Asientos-1'!M:M)</f>
        <v>0</v>
      </c>
      <c r="I66" s="143">
        <f ca="1">SUMIF('Asientos-1'!A:P,Matriz!A66:A66,'Asientos-1'!N:N)</f>
        <v>0</v>
      </c>
      <c r="J66" s="139"/>
      <c r="K66" s="139"/>
      <c r="L66" s="147">
        <f ca="1">+C66+G66-F66</f>
        <v>-11749370</v>
      </c>
      <c r="M66" s="187">
        <f ca="1">+D66+I66-H66</f>
        <v>-9167285</v>
      </c>
    </row>
    <row r="67" spans="1:13" x14ac:dyDescent="0.25">
      <c r="A67" s="87" t="s">
        <v>110</v>
      </c>
      <c r="B67" s="102" t="s">
        <v>111</v>
      </c>
      <c r="C67" s="147">
        <v>51495</v>
      </c>
      <c r="D67" s="143">
        <v>116418</v>
      </c>
      <c r="E67" s="139"/>
      <c r="F67" s="147">
        <f ca="1">SUMIF('Asientos-1'!A:P,Matriz!A67:A67,'Asientos-1'!K:K)</f>
        <v>0</v>
      </c>
      <c r="G67" s="147">
        <f ca="1">SUMIF('Asientos-1'!A:P,Matriz!A67:A67,'Asientos-1'!L:L)</f>
        <v>0</v>
      </c>
      <c r="H67" s="143">
        <f ca="1">SUMIF('Asientos-1'!A:P,Matriz!A67:A67,'Asientos-1'!M:M)</f>
        <v>0</v>
      </c>
      <c r="I67" s="143">
        <f ca="1">SUMIF('Asientos-1'!A:P,Matriz!A67:A67,'Asientos-1'!N:N)</f>
        <v>0</v>
      </c>
      <c r="J67" s="139"/>
      <c r="K67" s="139"/>
      <c r="L67" s="147">
        <f ca="1">+C67+-G67+F67</f>
        <v>51495</v>
      </c>
      <c r="M67" s="187">
        <f ca="1">+D67+-I67+G67</f>
        <v>116418</v>
      </c>
    </row>
    <row r="68" spans="1:13" x14ac:dyDescent="0.25">
      <c r="B68" s="195" t="s">
        <v>112</v>
      </c>
      <c r="C68" s="196">
        <f>SUM(C63:C67)</f>
        <v>28722008</v>
      </c>
      <c r="D68" s="197">
        <f>SUM(D63:D67)</f>
        <v>25611854</v>
      </c>
      <c r="E68" s="198"/>
      <c r="F68" s="196"/>
      <c r="G68" s="196"/>
      <c r="H68" s="197"/>
      <c r="I68" s="197"/>
      <c r="J68" s="198"/>
      <c r="K68" s="198"/>
      <c r="L68" s="196">
        <f t="shared" ref="L68:M68" ca="1" si="26">SUM(L63:L67)</f>
        <v>28572008</v>
      </c>
      <c r="M68" s="199">
        <f t="shared" ca="1" si="26"/>
        <v>25461854</v>
      </c>
    </row>
    <row r="69" spans="1:13" x14ac:dyDescent="0.25">
      <c r="B69" s="99"/>
      <c r="C69" s="147"/>
      <c r="D69" s="143"/>
      <c r="E69" s="139"/>
      <c r="F69" s="147"/>
      <c r="G69" s="147"/>
      <c r="H69" s="143"/>
      <c r="I69" s="143"/>
      <c r="J69" s="139"/>
      <c r="K69" s="139"/>
      <c r="L69" s="147"/>
      <c r="M69" s="187"/>
    </row>
    <row r="70" spans="1:13" x14ac:dyDescent="0.25">
      <c r="B70" s="102"/>
      <c r="C70" s="147"/>
      <c r="D70" s="143"/>
      <c r="E70" s="139"/>
      <c r="F70" s="147"/>
      <c r="G70" s="147"/>
      <c r="H70" s="143"/>
      <c r="I70" s="143"/>
      <c r="J70" s="139"/>
      <c r="K70" s="139"/>
      <c r="L70" s="147"/>
      <c r="M70" s="187"/>
    </row>
    <row r="71" spans="1:13" x14ac:dyDescent="0.25">
      <c r="A71" s="87" t="s">
        <v>113</v>
      </c>
      <c r="B71" s="102" t="s">
        <v>114</v>
      </c>
      <c r="C71" s="147">
        <v>2238531</v>
      </c>
      <c r="D71" s="143">
        <v>1221201</v>
      </c>
      <c r="E71" s="139"/>
      <c r="F71" s="147">
        <f ca="1">SUMIF('Asientos-1'!A:P,Matriz!A71:A71,'Asientos-1'!K:K)</f>
        <v>0</v>
      </c>
      <c r="G71" s="147">
        <f ca="1">SUMIF('Asientos-1'!A:P,Matriz!A71:A71,'Asientos-1'!L:L)</f>
        <v>0</v>
      </c>
      <c r="H71" s="143">
        <f ca="1">SUMIF('Asientos-1'!A:P,Matriz!A71:A71,'Asientos-1'!M:M)</f>
        <v>0</v>
      </c>
      <c r="I71" s="143">
        <f ca="1">SUMIF('Asientos-1'!A:P,Matriz!A71:A71,'Asientos-1'!N:N)</f>
        <v>0</v>
      </c>
      <c r="J71" s="139"/>
      <c r="K71" s="139"/>
      <c r="L71" s="147">
        <f ca="1">+C71+G71-F71</f>
        <v>2238531</v>
      </c>
      <c r="M71" s="187">
        <f ca="1">+D71+I71-H71</f>
        <v>1221201</v>
      </c>
    </row>
    <row r="72" spans="1:13" x14ac:dyDescent="0.25">
      <c r="A72" s="87" t="s">
        <v>115</v>
      </c>
      <c r="B72" s="102" t="s">
        <v>164</v>
      </c>
      <c r="C72" s="147">
        <v>-3906621</v>
      </c>
      <c r="D72" s="143">
        <v>-3112318</v>
      </c>
      <c r="E72" s="139"/>
      <c r="F72" s="147">
        <f ca="1">SUMIF('Asientos-1'!A:P,Matriz!A72:A72,'Asientos-1'!K:K)</f>
        <v>0</v>
      </c>
      <c r="G72" s="147">
        <f ca="1">SUMIF('Asientos-1'!A:P,Matriz!A72:A72,'Asientos-1'!L:L)</f>
        <v>0</v>
      </c>
      <c r="H72" s="143">
        <f ca="1">SUMIF('Asientos-1'!A:P,Matriz!A72:A72,'Asientos-1'!M:M)</f>
        <v>0</v>
      </c>
      <c r="I72" s="143">
        <f ca="1">SUMIF('Asientos-1'!A:P,Matriz!A72:A72,'Asientos-1'!N:N)</f>
        <v>0</v>
      </c>
      <c r="J72" s="139"/>
      <c r="K72" s="139"/>
      <c r="L72" s="147">
        <f ca="1">+C72+G72-F72</f>
        <v>-3906621</v>
      </c>
      <c r="M72" s="187">
        <f ca="1">+D72+I72-H72</f>
        <v>-3112318</v>
      </c>
    </row>
    <row r="73" spans="1:13" x14ac:dyDescent="0.25">
      <c r="A73" s="87" t="s">
        <v>210</v>
      </c>
      <c r="B73" s="102" t="s">
        <v>166</v>
      </c>
      <c r="C73" s="147">
        <v>0</v>
      </c>
      <c r="D73" s="143">
        <v>0</v>
      </c>
      <c r="E73" s="139"/>
      <c r="F73" s="147">
        <f ca="1">SUMIF('Asientos-1'!A:P,Matriz!A73:A73,'Asientos-1'!K:K)</f>
        <v>0</v>
      </c>
      <c r="G73" s="147">
        <f ca="1">SUMIF('Asientos-1'!A:P,Matriz!A73:A73,'Asientos-1'!L:L)</f>
        <v>0</v>
      </c>
      <c r="H73" s="143">
        <f ca="1">SUMIF('Asientos-1'!A:P,Matriz!A73:A73,'Asientos-1'!M:M)</f>
        <v>0</v>
      </c>
      <c r="I73" s="143">
        <f ca="1">SUMIF('Asientos-1'!A:P,Matriz!A73:A73,'Asientos-1'!N:N)</f>
        <v>0</v>
      </c>
      <c r="J73" s="139"/>
      <c r="K73" s="139"/>
      <c r="L73" s="147">
        <f ca="1">+G73-F73+C73</f>
        <v>0</v>
      </c>
      <c r="M73" s="187">
        <f ca="1">+D73+I73-H73</f>
        <v>0</v>
      </c>
    </row>
    <row r="74" spans="1:13" x14ac:dyDescent="0.25">
      <c r="A74" s="87" t="s">
        <v>116</v>
      </c>
      <c r="B74" s="195" t="s">
        <v>117</v>
      </c>
      <c r="C74" s="196">
        <f>SUM(C68:C73)</f>
        <v>27053918</v>
      </c>
      <c r="D74" s="197">
        <f>SUM(D68:D73)</f>
        <v>23720737</v>
      </c>
      <c r="E74" s="198"/>
      <c r="F74" s="196"/>
      <c r="G74" s="196"/>
      <c r="H74" s="197"/>
      <c r="I74" s="197"/>
      <c r="J74" s="198"/>
      <c r="K74" s="198"/>
      <c r="L74" s="196">
        <f t="shared" ref="L74:M74" ca="1" si="27">SUM(L68:L73)</f>
        <v>26903918</v>
      </c>
      <c r="M74" s="199">
        <f t="shared" ca="1" si="27"/>
        <v>23570737</v>
      </c>
    </row>
    <row r="75" spans="1:13" x14ac:dyDescent="0.25">
      <c r="A75" s="87" t="s">
        <v>118</v>
      </c>
      <c r="B75" s="102" t="s">
        <v>158</v>
      </c>
      <c r="C75" s="147">
        <v>-3600000</v>
      </c>
      <c r="D75" s="143">
        <v>-3400000</v>
      </c>
      <c r="E75" s="139"/>
      <c r="F75" s="147">
        <f ca="1">SUMIF('Asientos-1'!A:P,Matriz!A75:A75,'Asientos-1'!K:K)</f>
        <v>0</v>
      </c>
      <c r="G75" s="147">
        <f ca="1">SUMIF('Asientos-1'!A:P,Matriz!A75:A75,'Asientos-1'!L:L)</f>
        <v>0</v>
      </c>
      <c r="H75" s="143">
        <f ca="1">SUMIF('Asientos-1'!A:P,Matriz!A75:A75,'Asientos-1'!M:M)</f>
        <v>0</v>
      </c>
      <c r="I75" s="143">
        <f ca="1">SUMIF('Asientos-1'!A:P,Matriz!A75:A75,'Asientos-1'!N:N)</f>
        <v>0</v>
      </c>
      <c r="J75" s="139"/>
      <c r="K75" s="139"/>
      <c r="L75" s="147">
        <f ca="1">+C75+G75-F75</f>
        <v>-3600000</v>
      </c>
      <c r="M75" s="187">
        <f ca="1">+D75+I75-H75</f>
        <v>-3400000</v>
      </c>
    </row>
    <row r="76" spans="1:13" x14ac:dyDescent="0.25">
      <c r="A76" s="87" t="s">
        <v>157</v>
      </c>
      <c r="B76" s="102" t="s">
        <v>119</v>
      </c>
      <c r="C76" s="148">
        <v>-11096575</v>
      </c>
      <c r="D76" s="144">
        <v>-9495889</v>
      </c>
      <c r="E76" s="140"/>
      <c r="F76" s="148">
        <f ca="1">SUMIF('Asientos-1'!A:P,Matriz!A76:A76,'Asientos-1'!K:K)</f>
        <v>0</v>
      </c>
      <c r="G76" s="148">
        <f ca="1">SUMIF('Asientos-1'!A:P,Matriz!A76:A76,'Asientos-1'!L:L)</f>
        <v>0</v>
      </c>
      <c r="H76" s="144">
        <f ca="1">SUMIF('Asientos-1'!A:P,Matriz!A76:A76,'Asientos-1'!M:M)</f>
        <v>0</v>
      </c>
      <c r="I76" s="144">
        <f ca="1">SUMIF('Asientos-1'!A:P,Matriz!A76:A76,'Asientos-1'!N:N)</f>
        <v>0</v>
      </c>
      <c r="J76" s="140"/>
      <c r="K76" s="140"/>
      <c r="L76" s="148">
        <f ca="1">+C76+G76-F76</f>
        <v>-11096575</v>
      </c>
      <c r="M76" s="188">
        <f ca="1">+D76+I76-H76</f>
        <v>-9495889</v>
      </c>
    </row>
    <row r="77" spans="1:13" x14ac:dyDescent="0.25">
      <c r="B77" s="105" t="s">
        <v>120</v>
      </c>
      <c r="C77" s="149">
        <f>SUM(C74:C76)</f>
        <v>12357343</v>
      </c>
      <c r="D77" s="145">
        <f>SUM(D74:D76)</f>
        <v>10824848</v>
      </c>
      <c r="E77" s="141"/>
      <c r="F77" s="149">
        <f ca="1">SUM(F60:F76)</f>
        <v>150000</v>
      </c>
      <c r="G77" s="149">
        <f t="shared" ref="G77:I77" ca="1" si="28">SUM(G60:G76)</f>
        <v>0</v>
      </c>
      <c r="H77" s="145">
        <f t="shared" ca="1" si="28"/>
        <v>150000</v>
      </c>
      <c r="I77" s="145">
        <f t="shared" ca="1" si="28"/>
        <v>0</v>
      </c>
      <c r="J77" s="141"/>
      <c r="K77" s="141"/>
      <c r="L77" s="149">
        <f ca="1">SUM(L74:L76)</f>
        <v>12207343</v>
      </c>
      <c r="M77" s="189">
        <f ca="1">SUM(M74:M76)</f>
        <v>10674848</v>
      </c>
    </row>
    <row r="78" spans="1:13" x14ac:dyDescent="0.25">
      <c r="F78" s="88"/>
      <c r="G78" s="88"/>
      <c r="H78" s="88"/>
      <c r="I78" s="88"/>
      <c r="J78" s="88"/>
      <c r="K78" s="88"/>
      <c r="L78" s="90">
        <f ca="1">+L48-L77</f>
        <v>0</v>
      </c>
      <c r="M78" s="90"/>
    </row>
    <row r="79" spans="1:13" x14ac:dyDescent="0.25">
      <c r="C79" s="88"/>
      <c r="D79" s="88"/>
      <c r="F79" s="88"/>
      <c r="G79" s="88"/>
      <c r="H79" s="88"/>
      <c r="I79" s="88"/>
      <c r="J79" s="88"/>
      <c r="K79" s="88"/>
    </row>
    <row r="80" spans="1:13" x14ac:dyDescent="0.25">
      <c r="F80" s="88"/>
      <c r="G80" s="88"/>
      <c r="H80" s="88"/>
      <c r="I80" s="88"/>
      <c r="J80" s="88"/>
      <c r="K80" s="88"/>
    </row>
    <row r="81" spans="6:11" x14ac:dyDescent="0.25">
      <c r="F81" s="88"/>
      <c r="G81" s="88"/>
      <c r="H81" s="88"/>
      <c r="I81" s="88"/>
      <c r="J81" s="88"/>
      <c r="K81" s="88"/>
    </row>
    <row r="82" spans="6:11" x14ac:dyDescent="0.25">
      <c r="F82" s="88"/>
      <c r="G82" s="88"/>
      <c r="H82" s="88"/>
      <c r="I82" s="88"/>
      <c r="J82" s="88"/>
      <c r="K82" s="88"/>
    </row>
    <row r="83" spans="6:11" x14ac:dyDescent="0.25">
      <c r="F83" s="88"/>
      <c r="G83" s="88"/>
      <c r="H83" s="88"/>
      <c r="I83" s="88"/>
      <c r="J83" s="88"/>
      <c r="K83" s="88"/>
    </row>
    <row r="84" spans="6:11" x14ac:dyDescent="0.25">
      <c r="F84" s="88"/>
      <c r="G84" s="88"/>
      <c r="H84" s="88"/>
      <c r="I84" s="88"/>
      <c r="J84" s="88"/>
      <c r="K84" s="88"/>
    </row>
    <row r="85" spans="6:11" x14ac:dyDescent="0.25">
      <c r="F85" s="88"/>
      <c r="G85" s="88"/>
      <c r="H85" s="88"/>
      <c r="I85" s="88"/>
      <c r="J85" s="88"/>
      <c r="K85" s="88"/>
    </row>
    <row r="86" spans="6:11" x14ac:dyDescent="0.25">
      <c r="F86" s="88"/>
      <c r="G86" s="88"/>
      <c r="H86" s="88"/>
      <c r="I86" s="88"/>
      <c r="J86" s="88"/>
      <c r="K86" s="88"/>
    </row>
    <row r="87" spans="6:11" x14ac:dyDescent="0.25">
      <c r="F87" s="88"/>
      <c r="G87" s="88"/>
      <c r="H87" s="88"/>
      <c r="I87" s="88"/>
      <c r="J87" s="88"/>
      <c r="K87" s="88"/>
    </row>
    <row r="88" spans="6:11" x14ac:dyDescent="0.25">
      <c r="F88" s="88"/>
      <c r="G88" s="88"/>
      <c r="H88" s="88"/>
      <c r="I88" s="88"/>
      <c r="J88" s="88"/>
      <c r="K88" s="88"/>
    </row>
    <row r="89" spans="6:11" x14ac:dyDescent="0.25">
      <c r="F89" s="88"/>
      <c r="G89" s="88"/>
      <c r="H89" s="88"/>
      <c r="I89" s="88"/>
      <c r="J89" s="88"/>
      <c r="K89" s="88"/>
    </row>
    <row r="90" spans="6:11" x14ac:dyDescent="0.25">
      <c r="F90" s="88"/>
      <c r="G90" s="88"/>
      <c r="H90" s="88"/>
      <c r="I90" s="88"/>
      <c r="J90" s="88"/>
      <c r="K90" s="88"/>
    </row>
    <row r="91" spans="6:11" x14ac:dyDescent="0.25">
      <c r="F91" s="88"/>
      <c r="G91" s="88"/>
      <c r="H91" s="88"/>
      <c r="I91" s="88"/>
      <c r="J91" s="88"/>
      <c r="K91" s="88"/>
    </row>
    <row r="92" spans="6:11" x14ac:dyDescent="0.25">
      <c r="F92" s="88"/>
      <c r="G92" s="88"/>
      <c r="H92" s="88"/>
      <c r="I92" s="88"/>
      <c r="J92" s="88"/>
      <c r="K92" s="88"/>
    </row>
    <row r="93" spans="6:11" x14ac:dyDescent="0.25">
      <c r="F93" s="88"/>
      <c r="G93" s="88"/>
      <c r="H93" s="88"/>
      <c r="I93" s="88"/>
      <c r="J93" s="88"/>
      <c r="K93" s="88"/>
    </row>
    <row r="94" spans="6:11" x14ac:dyDescent="0.25">
      <c r="F94" s="88"/>
      <c r="G94" s="88"/>
      <c r="H94" s="88"/>
      <c r="I94" s="88"/>
      <c r="J94" s="88"/>
      <c r="K94" s="88"/>
    </row>
    <row r="95" spans="6:11" x14ac:dyDescent="0.25">
      <c r="F95" s="88"/>
      <c r="G95" s="88"/>
      <c r="H95" s="88"/>
      <c r="I95" s="88"/>
      <c r="J95" s="88"/>
      <c r="K95" s="88"/>
    </row>
    <row r="96" spans="6:11" x14ac:dyDescent="0.25">
      <c r="F96" s="88"/>
      <c r="G96" s="88"/>
      <c r="H96" s="88"/>
      <c r="I96" s="88"/>
      <c r="J96" s="88"/>
      <c r="K96" s="88"/>
    </row>
    <row r="97" spans="6:11" x14ac:dyDescent="0.25">
      <c r="F97" s="88"/>
      <c r="G97" s="88"/>
      <c r="H97" s="88"/>
      <c r="I97" s="88"/>
      <c r="J97" s="88"/>
      <c r="K97" s="88"/>
    </row>
    <row r="98" spans="6:11" x14ac:dyDescent="0.25">
      <c r="F98" s="88"/>
      <c r="G98" s="88"/>
      <c r="H98" s="88"/>
      <c r="I98" s="88"/>
      <c r="J98" s="88"/>
      <c r="K98" s="88"/>
    </row>
    <row r="99" spans="6:11" x14ac:dyDescent="0.25">
      <c r="F99" s="88"/>
      <c r="G99" s="88"/>
      <c r="H99" s="88"/>
      <c r="I99" s="88"/>
      <c r="J99" s="88"/>
      <c r="K99" s="88"/>
    </row>
    <row r="100" spans="6:11" x14ac:dyDescent="0.25">
      <c r="F100" s="88"/>
      <c r="G100" s="88"/>
      <c r="H100" s="88"/>
      <c r="I100" s="88"/>
      <c r="J100" s="88"/>
      <c r="K100" s="88"/>
    </row>
    <row r="101" spans="6:11" x14ac:dyDescent="0.25">
      <c r="F101" s="88"/>
      <c r="G101" s="88"/>
      <c r="H101" s="88"/>
      <c r="I101" s="88"/>
      <c r="J101" s="88"/>
      <c r="K101" s="88"/>
    </row>
    <row r="102" spans="6:11" x14ac:dyDescent="0.25">
      <c r="F102" s="88"/>
      <c r="G102" s="88"/>
      <c r="H102" s="88"/>
      <c r="I102" s="88"/>
      <c r="J102" s="88"/>
      <c r="K102" s="88"/>
    </row>
    <row r="103" spans="6:11" x14ac:dyDescent="0.25">
      <c r="F103" s="88"/>
      <c r="G103" s="88"/>
      <c r="H103" s="88"/>
      <c r="I103" s="88"/>
      <c r="J103" s="88"/>
      <c r="K103" s="88"/>
    </row>
    <row r="104" spans="6:11" x14ac:dyDescent="0.25">
      <c r="F104" s="88"/>
      <c r="G104" s="88"/>
      <c r="H104" s="88"/>
      <c r="I104" s="88"/>
      <c r="J104" s="88"/>
      <c r="K104" s="88"/>
    </row>
    <row r="105" spans="6:11" x14ac:dyDescent="0.25">
      <c r="F105" s="88"/>
      <c r="G105" s="88"/>
      <c r="H105" s="88"/>
      <c r="I105" s="88"/>
      <c r="J105" s="88"/>
      <c r="K105" s="88"/>
    </row>
    <row r="106" spans="6:11" x14ac:dyDescent="0.25">
      <c r="F106" s="88"/>
      <c r="G106" s="88"/>
      <c r="H106" s="88"/>
      <c r="I106" s="88"/>
      <c r="J106" s="88"/>
      <c r="K106" s="88"/>
    </row>
    <row r="107" spans="6:11" x14ac:dyDescent="0.25">
      <c r="F107" s="88"/>
      <c r="G107" s="88"/>
      <c r="H107" s="88"/>
      <c r="I107" s="88"/>
      <c r="J107" s="88"/>
      <c r="K107" s="88"/>
    </row>
    <row r="108" spans="6:11" x14ac:dyDescent="0.25">
      <c r="F108" s="88"/>
      <c r="G108" s="88"/>
      <c r="H108" s="88"/>
      <c r="I108" s="88"/>
      <c r="J108" s="88"/>
      <c r="K108" s="88"/>
    </row>
    <row r="109" spans="6:11" x14ac:dyDescent="0.25">
      <c r="F109" s="88"/>
      <c r="G109" s="88"/>
      <c r="H109" s="88"/>
      <c r="I109" s="88"/>
      <c r="J109" s="88"/>
      <c r="K109" s="88"/>
    </row>
    <row r="110" spans="6:11" x14ac:dyDescent="0.25">
      <c r="F110" s="88"/>
      <c r="G110" s="88"/>
      <c r="H110" s="88"/>
      <c r="I110" s="88"/>
      <c r="J110" s="88"/>
      <c r="K110" s="88"/>
    </row>
    <row r="111" spans="6:11" x14ac:dyDescent="0.25">
      <c r="F111" s="88"/>
      <c r="G111" s="88"/>
      <c r="H111" s="88"/>
      <c r="I111" s="88"/>
      <c r="J111" s="88"/>
      <c r="K111" s="88"/>
    </row>
    <row r="112" spans="6:11" x14ac:dyDescent="0.25">
      <c r="F112" s="88"/>
      <c r="G112" s="88"/>
      <c r="H112" s="88"/>
      <c r="I112" s="88"/>
      <c r="J112" s="88"/>
      <c r="K112" s="88"/>
    </row>
    <row r="113" spans="6:11" x14ac:dyDescent="0.25">
      <c r="F113" s="88"/>
      <c r="G113" s="88"/>
      <c r="H113" s="88"/>
      <c r="I113" s="88"/>
      <c r="J113" s="88"/>
      <c r="K113" s="88"/>
    </row>
    <row r="114" spans="6:11" x14ac:dyDescent="0.25">
      <c r="F114" s="88"/>
      <c r="G114" s="88"/>
      <c r="H114" s="88"/>
      <c r="I114" s="88"/>
      <c r="J114" s="88"/>
      <c r="K114" s="88"/>
    </row>
    <row r="115" spans="6:11" x14ac:dyDescent="0.25">
      <c r="F115" s="88"/>
      <c r="G115" s="88"/>
      <c r="H115" s="88"/>
      <c r="I115" s="88"/>
      <c r="J115" s="88"/>
      <c r="K115" s="88"/>
    </row>
    <row r="116" spans="6:11" x14ac:dyDescent="0.25">
      <c r="F116" s="88"/>
      <c r="G116" s="88"/>
      <c r="H116" s="88"/>
      <c r="I116" s="88"/>
      <c r="J116" s="88"/>
      <c r="K116" s="88"/>
    </row>
  </sheetData>
  <printOptions horizontalCentered="1"/>
  <pageMargins left="0.31496062992125984" right="0.31496062992125984" top="0.74803149606299213" bottom="0.74803149606299213" header="0.31496062992125984" footer="0.31496062992125984"/>
  <pageSetup scale="46" fitToHeight="2" orientation="landscape" r:id="rId1"/>
  <rowBreaks count="1" manualBreakCount="1">
    <brk id="52" max="1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13"/>
  <sheetViews>
    <sheetView zoomScale="80" zoomScaleNormal="80" zoomScaleSheetLayoutView="80" workbookViewId="0">
      <pane ySplit="3" topLeftCell="A62" activePane="bottomLeft" state="frozen"/>
      <selection pane="bottomLeft" activeCell="B83" sqref="B83:P98"/>
    </sheetView>
  </sheetViews>
  <sheetFormatPr baseColWidth="10" defaultRowHeight="15.75" x14ac:dyDescent="0.25"/>
  <cols>
    <col min="1" max="1" width="9.85546875" style="33" customWidth="1"/>
    <col min="2" max="2" width="8.140625" style="33" customWidth="1"/>
    <col min="3" max="3" width="16.42578125" style="33" customWidth="1"/>
    <col min="4" max="4" width="15.28515625" style="33" customWidth="1"/>
    <col min="5" max="5" width="12.28515625" style="33" customWidth="1"/>
    <col min="6" max="6" width="13" style="33" customWidth="1"/>
    <col min="7" max="7" width="15.28515625" style="33" bestFit="1" customWidth="1"/>
    <col min="8" max="8" width="4.85546875" style="33" hidden="1" customWidth="1"/>
    <col min="9" max="9" width="0.85546875" style="33" hidden="1" customWidth="1"/>
    <col min="10" max="10" width="1.28515625" style="33" hidden="1" customWidth="1"/>
    <col min="11" max="11" width="16.42578125" style="317" customWidth="1"/>
    <col min="12" max="12" width="16.5703125" style="317" customWidth="1"/>
    <col min="13" max="13" width="17.140625" style="317" customWidth="1"/>
    <col min="14" max="14" width="16" style="317" customWidth="1"/>
    <col min="15" max="15" width="16.42578125" style="317" customWidth="1"/>
    <col min="16" max="16" width="16" style="317" customWidth="1"/>
    <col min="17" max="17" width="11.42578125" style="46"/>
    <col min="18" max="18" width="14" style="33" bestFit="1" customWidth="1"/>
    <col min="19" max="16384" width="11.42578125" style="46"/>
  </cols>
  <sheetData>
    <row r="1" spans="1:18" customFormat="1" ht="65.25" customHeight="1" x14ac:dyDescent="0.4">
      <c r="A1" s="36"/>
      <c r="B1" s="36"/>
      <c r="C1" s="36"/>
      <c r="D1" s="36"/>
      <c r="E1" s="36"/>
      <c r="F1" s="36"/>
      <c r="G1" s="36"/>
      <c r="H1" s="36"/>
      <c r="I1" s="36"/>
      <c r="J1" s="36"/>
      <c r="K1" s="508" t="s">
        <v>377</v>
      </c>
      <c r="L1" s="508"/>
      <c r="M1" s="37"/>
      <c r="N1" s="37"/>
      <c r="O1" s="37"/>
      <c r="P1" s="37"/>
      <c r="R1" s="36"/>
    </row>
    <row r="2" spans="1:18" s="209" customFormat="1" ht="23.25" x14ac:dyDescent="0.35">
      <c r="A2" s="205"/>
      <c r="B2" s="206"/>
      <c r="C2" s="206"/>
      <c r="D2" s="206"/>
      <c r="E2" s="206"/>
      <c r="F2" s="206"/>
      <c r="G2" s="206"/>
      <c r="H2" s="206"/>
      <c r="I2" s="206"/>
      <c r="J2" s="206"/>
      <c r="K2" s="207" t="s">
        <v>398</v>
      </c>
      <c r="L2" s="207"/>
      <c r="M2" s="208" t="s">
        <v>401</v>
      </c>
      <c r="N2" s="208"/>
      <c r="O2" s="405" t="s">
        <v>419</v>
      </c>
      <c r="P2" s="405"/>
      <c r="R2" s="210"/>
    </row>
    <row r="3" spans="1:18" s="1" customFormat="1" ht="19.5" x14ac:dyDescent="0.3">
      <c r="A3" s="34"/>
      <c r="B3" s="35"/>
      <c r="C3" s="35"/>
      <c r="D3" s="35"/>
      <c r="E3" s="35"/>
      <c r="F3" s="35"/>
      <c r="G3" s="35"/>
      <c r="H3" s="35" t="s">
        <v>417</v>
      </c>
      <c r="I3" s="35"/>
      <c r="J3" s="35"/>
      <c r="K3" s="94" t="s">
        <v>122</v>
      </c>
      <c r="L3" s="94" t="s">
        <v>202</v>
      </c>
      <c r="M3" s="132" t="s">
        <v>122</v>
      </c>
      <c r="N3" s="132" t="s">
        <v>202</v>
      </c>
      <c r="O3" s="406" t="s">
        <v>122</v>
      </c>
      <c r="P3" s="406" t="s">
        <v>202</v>
      </c>
      <c r="R3" s="36"/>
    </row>
    <row r="4" spans="1:18" x14ac:dyDescent="0.25">
      <c r="A4" s="87"/>
      <c r="C4" s="211"/>
      <c r="D4" s="87"/>
      <c r="E4" s="87"/>
      <c r="F4" s="87"/>
      <c r="G4" s="87"/>
      <c r="H4" s="87"/>
      <c r="I4" s="87"/>
      <c r="J4" s="87"/>
      <c r="K4" s="115"/>
      <c r="L4" s="107"/>
      <c r="M4" s="89"/>
      <c r="N4" s="107"/>
      <c r="O4" s="89"/>
      <c r="P4" s="107"/>
    </row>
    <row r="5" spans="1:18" ht="20.25" x14ac:dyDescent="0.3">
      <c r="A5" s="87"/>
      <c r="B5" s="319" t="s">
        <v>379</v>
      </c>
      <c r="C5" s="320"/>
      <c r="D5" s="321"/>
      <c r="E5" s="321"/>
      <c r="F5" s="321"/>
      <c r="G5" s="321"/>
      <c r="H5" s="87"/>
      <c r="I5" s="87"/>
      <c r="J5" s="87"/>
      <c r="K5" s="115"/>
      <c r="L5" s="107"/>
      <c r="M5" s="89"/>
      <c r="N5" s="107"/>
      <c r="O5" s="89"/>
      <c r="P5" s="107"/>
    </row>
    <row r="6" spans="1:18" x14ac:dyDescent="0.25">
      <c r="A6" s="87"/>
      <c r="C6" s="211"/>
      <c r="D6" s="87"/>
      <c r="E6" s="87"/>
      <c r="F6" s="87"/>
      <c r="G6" s="87"/>
      <c r="H6" s="87"/>
      <c r="I6" s="87"/>
      <c r="J6" s="87"/>
      <c r="K6" s="115"/>
      <c r="L6" s="107"/>
      <c r="M6" s="89"/>
      <c r="N6" s="107"/>
      <c r="O6" s="89"/>
      <c r="P6" s="107"/>
    </row>
    <row r="7" spans="1:18" x14ac:dyDescent="0.25">
      <c r="A7" s="87"/>
      <c r="B7" s="322" t="s">
        <v>4</v>
      </c>
      <c r="C7" s="325"/>
      <c r="D7" s="323"/>
      <c r="E7" s="323"/>
      <c r="F7" s="323"/>
      <c r="G7" s="323"/>
      <c r="H7" s="87"/>
      <c r="I7" s="87"/>
      <c r="J7" s="87"/>
      <c r="K7" s="115"/>
      <c r="L7" s="107"/>
      <c r="M7" s="89"/>
      <c r="N7" s="107"/>
      <c r="O7" s="89"/>
      <c r="P7" s="107"/>
      <c r="R7" s="212"/>
    </row>
    <row r="8" spans="1:18" x14ac:dyDescent="0.25">
      <c r="A8" s="87"/>
      <c r="B8" s="322" t="s">
        <v>420</v>
      </c>
      <c r="C8" s="325"/>
      <c r="D8" s="323"/>
      <c r="E8" s="323"/>
      <c r="F8" s="323"/>
      <c r="G8" s="323"/>
      <c r="H8" s="87"/>
      <c r="I8" s="87"/>
      <c r="J8" s="87"/>
      <c r="K8" s="115"/>
      <c r="L8" s="107"/>
      <c r="M8" s="89"/>
      <c r="N8" s="107"/>
      <c r="O8" s="89"/>
      <c r="P8" s="107"/>
      <c r="R8" s="212"/>
    </row>
    <row r="9" spans="1:18" x14ac:dyDescent="0.25">
      <c r="A9" s="87"/>
      <c r="B9" s="322" t="s">
        <v>421</v>
      </c>
      <c r="C9" s="325"/>
      <c r="D9" s="323"/>
      <c r="E9" s="323"/>
      <c r="F9" s="323"/>
      <c r="G9" s="323"/>
      <c r="H9" s="87"/>
      <c r="I9" s="87"/>
      <c r="J9" s="87"/>
      <c r="K9" s="115" t="s">
        <v>122</v>
      </c>
      <c r="L9" s="107"/>
      <c r="M9" s="89" t="s">
        <v>122</v>
      </c>
      <c r="N9" s="107"/>
      <c r="O9" s="89" t="s">
        <v>122</v>
      </c>
      <c r="P9" s="107"/>
      <c r="R9" s="87"/>
    </row>
    <row r="10" spans="1:18" x14ac:dyDescent="0.25">
      <c r="A10" s="87"/>
      <c r="B10" s="111" t="s">
        <v>89</v>
      </c>
      <c r="C10" s="111"/>
      <c r="D10" s="87"/>
      <c r="E10" s="87"/>
      <c r="F10" s="87"/>
      <c r="G10" s="87"/>
      <c r="H10" s="87">
        <f>IF(A10=0,0,1)</f>
        <v>0</v>
      </c>
      <c r="I10" s="87"/>
      <c r="J10" s="87"/>
      <c r="K10" s="115">
        <v>3200000</v>
      </c>
      <c r="L10" s="107"/>
      <c r="M10" s="89">
        <v>3500000</v>
      </c>
      <c r="N10" s="107"/>
      <c r="O10" s="89">
        <v>2900000</v>
      </c>
      <c r="P10" s="107"/>
      <c r="R10" s="87" t="s">
        <v>88</v>
      </c>
    </row>
    <row r="11" spans="1:18" x14ac:dyDescent="0.25">
      <c r="A11" s="87"/>
      <c r="B11" s="111" t="s">
        <v>91</v>
      </c>
      <c r="C11" s="111"/>
      <c r="D11" s="87"/>
      <c r="E11" s="87"/>
      <c r="F11" s="87"/>
      <c r="G11" s="87"/>
      <c r="H11" s="87">
        <f>IF(A11=0,0,1)</f>
        <v>0</v>
      </c>
      <c r="I11" s="87"/>
      <c r="J11" s="87"/>
      <c r="K11" s="115"/>
      <c r="L11" s="107">
        <f>+K10</f>
        <v>3200000</v>
      </c>
      <c r="M11" s="89"/>
      <c r="N11" s="107">
        <f>+M10</f>
        <v>3500000</v>
      </c>
      <c r="O11" s="89"/>
      <c r="P11" s="107">
        <f>+O10</f>
        <v>2900000</v>
      </c>
      <c r="R11" s="87" t="s">
        <v>90</v>
      </c>
    </row>
    <row r="12" spans="1:18" x14ac:dyDescent="0.25">
      <c r="A12" s="87"/>
      <c r="B12" s="322" t="s">
        <v>4</v>
      </c>
      <c r="C12" s="324"/>
      <c r="D12" s="323"/>
      <c r="E12" s="323"/>
      <c r="F12" s="323"/>
      <c r="G12" s="323"/>
      <c r="H12" s="87"/>
      <c r="I12" s="87"/>
      <c r="J12" s="87"/>
      <c r="K12" s="115"/>
      <c r="L12" s="107"/>
      <c r="M12" s="89"/>
      <c r="N12" s="107"/>
      <c r="O12" s="89"/>
      <c r="P12" s="107"/>
      <c r="R12" s="87"/>
    </row>
    <row r="13" spans="1:18" x14ac:dyDescent="0.25">
      <c r="A13" s="87"/>
      <c r="B13" s="322" t="s">
        <v>422</v>
      </c>
      <c r="C13" s="323"/>
      <c r="D13" s="323"/>
      <c r="E13" s="323"/>
      <c r="F13" s="323"/>
      <c r="G13" s="323"/>
      <c r="H13" s="87"/>
      <c r="I13" s="87"/>
      <c r="J13" s="87"/>
      <c r="K13" s="115"/>
      <c r="L13" s="107"/>
      <c r="M13" s="89"/>
      <c r="N13" s="107"/>
      <c r="O13" s="89"/>
      <c r="P13" s="107"/>
      <c r="R13" s="87"/>
    </row>
    <row r="14" spans="1:18" s="213" customFormat="1" x14ac:dyDescent="0.25">
      <c r="A14" s="87"/>
      <c r="B14" s="322" t="s">
        <v>423</v>
      </c>
      <c r="C14" s="322"/>
      <c r="D14" s="322"/>
      <c r="E14" s="322"/>
      <c r="F14" s="322"/>
      <c r="G14" s="322"/>
      <c r="H14" s="85"/>
      <c r="I14" s="85"/>
      <c r="J14" s="85"/>
      <c r="K14" s="114"/>
      <c r="L14" s="108"/>
      <c r="M14" s="86"/>
      <c r="N14" s="108"/>
      <c r="O14" s="86"/>
      <c r="P14" s="108"/>
      <c r="Q14" s="46"/>
      <c r="R14" s="87"/>
    </row>
    <row r="15" spans="1:18" s="213" customFormat="1" x14ac:dyDescent="0.25">
      <c r="A15" s="87"/>
      <c r="B15" s="111" t="s">
        <v>93</v>
      </c>
      <c r="C15" s="111"/>
      <c r="D15" s="85"/>
      <c r="E15" s="85"/>
      <c r="F15" s="85"/>
      <c r="G15" s="85"/>
      <c r="H15" s="87">
        <f t="shared" ref="H15:H16" si="0">IF(A15=0,0,1)</f>
        <v>0</v>
      </c>
      <c r="I15" s="85"/>
      <c r="J15" s="85"/>
      <c r="K15" s="115">
        <v>200000</v>
      </c>
      <c r="L15" s="107"/>
      <c r="M15" s="89">
        <v>200000</v>
      </c>
      <c r="N15" s="107"/>
      <c r="O15" s="89">
        <f>+Matriz!E37</f>
        <v>200000</v>
      </c>
      <c r="P15" s="107"/>
      <c r="Q15" s="46"/>
      <c r="R15" s="87" t="s">
        <v>92</v>
      </c>
    </row>
    <row r="16" spans="1:18" s="213" customFormat="1" x14ac:dyDescent="0.25">
      <c r="A16" s="87"/>
      <c r="B16" s="111" t="s">
        <v>89</v>
      </c>
      <c r="C16" s="111"/>
      <c r="D16" s="85"/>
      <c r="E16" s="85"/>
      <c r="F16" s="85"/>
      <c r="G16" s="85"/>
      <c r="H16" s="87">
        <f t="shared" si="0"/>
        <v>0</v>
      </c>
      <c r="I16" s="85"/>
      <c r="J16" s="85"/>
      <c r="K16" s="115"/>
      <c r="L16" s="107">
        <f>+K15</f>
        <v>200000</v>
      </c>
      <c r="M16" s="89"/>
      <c r="N16" s="107">
        <f>+M15</f>
        <v>200000</v>
      </c>
      <c r="O16" s="89"/>
      <c r="P16" s="107">
        <f>+O15</f>
        <v>200000</v>
      </c>
      <c r="Q16" s="46"/>
      <c r="R16" s="87" t="s">
        <v>88</v>
      </c>
    </row>
    <row r="17" spans="1:18" s="213" customFormat="1" x14ac:dyDescent="0.25">
      <c r="A17" s="87"/>
      <c r="B17" s="111"/>
      <c r="C17" s="111"/>
      <c r="D17" s="85"/>
      <c r="E17" s="85"/>
      <c r="F17" s="85"/>
      <c r="G17" s="85"/>
      <c r="H17" s="85"/>
      <c r="I17" s="85"/>
      <c r="J17" s="85"/>
      <c r="K17" s="115"/>
      <c r="L17" s="107"/>
      <c r="M17" s="89"/>
      <c r="N17" s="107"/>
      <c r="O17" s="89"/>
      <c r="P17" s="107"/>
      <c r="Q17" s="46"/>
      <c r="R17" s="87"/>
    </row>
    <row r="18" spans="1:18" s="213" customFormat="1" x14ac:dyDescent="0.25">
      <c r="A18" s="85"/>
      <c r="B18" s="322" t="s">
        <v>4</v>
      </c>
      <c r="C18" s="322"/>
      <c r="D18" s="322"/>
      <c r="E18" s="322"/>
      <c r="F18" s="322"/>
      <c r="G18" s="322"/>
      <c r="H18" s="85"/>
      <c r="I18" s="85"/>
      <c r="J18" s="85"/>
      <c r="K18" s="114"/>
      <c r="L18" s="108"/>
      <c r="M18" s="86"/>
      <c r="N18" s="108"/>
      <c r="O18" s="86"/>
      <c r="P18" s="108"/>
      <c r="Q18" s="46"/>
      <c r="R18" s="85"/>
    </row>
    <row r="19" spans="1:18" x14ac:dyDescent="0.25">
      <c r="A19" s="85"/>
      <c r="B19" s="322" t="s">
        <v>424</v>
      </c>
      <c r="C19" s="322"/>
      <c r="D19" s="323"/>
      <c r="E19" s="323"/>
      <c r="F19" s="323"/>
      <c r="G19" s="323"/>
      <c r="H19" s="87"/>
      <c r="I19" s="87"/>
      <c r="J19" s="87"/>
      <c r="K19" s="115"/>
      <c r="L19" s="107"/>
      <c r="M19" s="89"/>
      <c r="N19" s="107"/>
      <c r="O19" s="89"/>
      <c r="P19" s="107"/>
      <c r="R19" s="85"/>
    </row>
    <row r="20" spans="1:18" x14ac:dyDescent="0.25">
      <c r="A20" s="85"/>
      <c r="B20" s="322" t="s">
        <v>425</v>
      </c>
      <c r="C20" s="322"/>
      <c r="D20" s="323"/>
      <c r="E20" s="323"/>
      <c r="F20" s="323"/>
      <c r="G20" s="323"/>
      <c r="H20" s="87"/>
      <c r="I20" s="87"/>
      <c r="J20" s="87"/>
      <c r="K20" s="115"/>
      <c r="L20" s="107"/>
      <c r="M20" s="89"/>
      <c r="N20" s="107"/>
      <c r="O20" s="89"/>
      <c r="P20" s="107"/>
      <c r="R20" s="85"/>
    </row>
    <row r="21" spans="1:18" x14ac:dyDescent="0.25">
      <c r="A21" s="85"/>
      <c r="B21" s="111" t="s">
        <v>167</v>
      </c>
      <c r="C21" s="111"/>
      <c r="D21" s="87"/>
      <c r="E21" s="87"/>
      <c r="F21" s="87"/>
      <c r="G21" s="87"/>
      <c r="H21" s="87">
        <f t="shared" ref="H21:H24" si="1">IF(A21=0,0,1)</f>
        <v>0</v>
      </c>
      <c r="I21" s="87"/>
      <c r="J21" s="87"/>
      <c r="K21" s="115">
        <f>L24*60%</f>
        <v>2160000</v>
      </c>
      <c r="L21" s="107"/>
      <c r="M21" s="89">
        <f>+N24*60%</f>
        <v>2040000</v>
      </c>
      <c r="N21" s="107"/>
      <c r="O21" s="89"/>
      <c r="P21" s="107"/>
      <c r="R21" s="87" t="s">
        <v>104</v>
      </c>
    </row>
    <row r="22" spans="1:18" x14ac:dyDescent="0.25">
      <c r="A22" s="85"/>
      <c r="B22" s="111" t="s">
        <v>107</v>
      </c>
      <c r="C22" s="111"/>
      <c r="D22" s="87"/>
      <c r="E22" s="87"/>
      <c r="F22" s="87"/>
      <c r="G22" s="87"/>
      <c r="H22" s="87">
        <f t="shared" si="1"/>
        <v>0</v>
      </c>
      <c r="I22" s="87"/>
      <c r="J22" s="87"/>
      <c r="K22" s="115">
        <f>L24*30%</f>
        <v>1080000</v>
      </c>
      <c r="L22" s="107"/>
      <c r="M22" s="89">
        <f>N24*30%</f>
        <v>1020000</v>
      </c>
      <c r="N22" s="107"/>
      <c r="O22" s="89"/>
      <c r="P22" s="107"/>
      <c r="R22" s="87" t="s">
        <v>106</v>
      </c>
    </row>
    <row r="23" spans="1:18" x14ac:dyDescent="0.25">
      <c r="A23" s="85"/>
      <c r="B23" s="111" t="s">
        <v>109</v>
      </c>
      <c r="C23" s="111"/>
      <c r="D23" s="87"/>
      <c r="E23" s="87"/>
      <c r="F23" s="87"/>
      <c r="G23" s="87"/>
      <c r="H23" s="87">
        <f t="shared" si="1"/>
        <v>0</v>
      </c>
      <c r="I23" s="87"/>
      <c r="J23" s="87"/>
      <c r="K23" s="115">
        <f>L24*10%</f>
        <v>360000</v>
      </c>
      <c r="L23" s="107"/>
      <c r="M23" s="89">
        <f>N24*10%</f>
        <v>340000</v>
      </c>
      <c r="N23" s="107"/>
      <c r="O23" s="89"/>
      <c r="P23" s="107"/>
      <c r="R23" s="87" t="s">
        <v>108</v>
      </c>
    </row>
    <row r="24" spans="1:18" x14ac:dyDescent="0.25">
      <c r="A24" s="85"/>
      <c r="B24" s="111" t="s">
        <v>158</v>
      </c>
      <c r="C24" s="111"/>
      <c r="D24" s="87"/>
      <c r="E24" s="87"/>
      <c r="F24" s="87"/>
      <c r="G24" s="87"/>
      <c r="H24" s="87">
        <f t="shared" si="1"/>
        <v>0</v>
      </c>
      <c r="I24" s="87"/>
      <c r="J24" s="87"/>
      <c r="K24" s="115"/>
      <c r="L24" s="107">
        <f>-Matriz!C75</f>
        <v>3600000</v>
      </c>
      <c r="M24" s="89"/>
      <c r="N24" s="107">
        <f>-Matriz!D75</f>
        <v>3400000</v>
      </c>
      <c r="O24" s="89"/>
      <c r="P24" s="107"/>
      <c r="R24" s="87" t="s">
        <v>118</v>
      </c>
    </row>
    <row r="25" spans="1:18" x14ac:dyDescent="0.25">
      <c r="A25" s="85"/>
      <c r="B25" s="111"/>
      <c r="C25" s="111"/>
      <c r="D25" s="87"/>
      <c r="E25" s="87"/>
      <c r="F25" s="87"/>
      <c r="G25" s="87"/>
      <c r="H25" s="87"/>
      <c r="I25" s="87"/>
      <c r="J25" s="87"/>
      <c r="K25" s="115"/>
      <c r="L25" s="107"/>
      <c r="M25" s="89"/>
      <c r="N25" s="107"/>
      <c r="O25" s="89"/>
      <c r="P25" s="107"/>
      <c r="R25" s="87"/>
    </row>
    <row r="26" spans="1:18" x14ac:dyDescent="0.25">
      <c r="A26" s="85"/>
      <c r="B26" s="322" t="s">
        <v>12</v>
      </c>
      <c r="C26" s="324"/>
      <c r="D26" s="323"/>
      <c r="E26" s="323"/>
      <c r="F26" s="323"/>
      <c r="G26" s="323"/>
      <c r="H26" s="87"/>
      <c r="I26" s="87"/>
      <c r="J26" s="87"/>
      <c r="K26" s="115"/>
      <c r="L26" s="107"/>
      <c r="M26" s="89"/>
      <c r="N26" s="107"/>
      <c r="O26" s="89"/>
      <c r="P26" s="107"/>
      <c r="R26" s="87"/>
    </row>
    <row r="27" spans="1:18" s="213" customFormat="1" x14ac:dyDescent="0.25">
      <c r="A27" s="85"/>
      <c r="B27" s="322" t="s">
        <v>426</v>
      </c>
      <c r="C27" s="326"/>
      <c r="D27" s="322"/>
      <c r="E27" s="322"/>
      <c r="F27" s="322"/>
      <c r="G27" s="322"/>
      <c r="H27" s="85"/>
      <c r="I27" s="85"/>
      <c r="J27" s="85"/>
      <c r="K27" s="114"/>
      <c r="L27" s="108"/>
      <c r="M27" s="86"/>
      <c r="N27" s="108"/>
      <c r="O27" s="86"/>
      <c r="P27" s="108"/>
      <c r="Q27" s="46"/>
      <c r="R27" s="87"/>
    </row>
    <row r="28" spans="1:18" s="213" customFormat="1" x14ac:dyDescent="0.25">
      <c r="A28" s="85"/>
      <c r="B28" s="322" t="s">
        <v>427</v>
      </c>
      <c r="C28" s="326"/>
      <c r="D28" s="322"/>
      <c r="E28" s="322"/>
      <c r="F28" s="322"/>
      <c r="G28" s="322"/>
      <c r="H28" s="85"/>
      <c r="I28" s="85"/>
      <c r="J28" s="85"/>
      <c r="K28" s="114"/>
      <c r="L28" s="108"/>
      <c r="M28" s="86"/>
      <c r="N28" s="108"/>
      <c r="O28" s="86"/>
      <c r="P28" s="108"/>
      <c r="Q28" s="46"/>
      <c r="R28" s="85"/>
    </row>
    <row r="29" spans="1:18" x14ac:dyDescent="0.25">
      <c r="A29" s="85"/>
      <c r="B29" s="111" t="s">
        <v>114</v>
      </c>
      <c r="C29" s="87"/>
      <c r="D29" s="87"/>
      <c r="E29" s="87"/>
      <c r="F29" s="87"/>
      <c r="G29" s="87"/>
      <c r="H29" s="87">
        <f t="shared" ref="H29:H31" si="2">IF(A29=0,0,1)</f>
        <v>0</v>
      </c>
      <c r="I29" s="87"/>
      <c r="J29" s="87"/>
      <c r="K29" s="115">
        <v>2000000</v>
      </c>
      <c r="L29" s="107"/>
      <c r="M29" s="89">
        <v>1000000</v>
      </c>
      <c r="N29" s="107"/>
      <c r="O29" s="89"/>
      <c r="P29" s="107"/>
      <c r="R29" s="87" t="s">
        <v>113</v>
      </c>
    </row>
    <row r="30" spans="1:18" x14ac:dyDescent="0.25">
      <c r="A30" s="85"/>
      <c r="B30" s="111" t="s">
        <v>164</v>
      </c>
      <c r="C30" s="87"/>
      <c r="D30" s="87"/>
      <c r="E30" s="87"/>
      <c r="F30" s="87"/>
      <c r="G30" s="87"/>
      <c r="H30" s="87">
        <f t="shared" si="2"/>
        <v>0</v>
      </c>
      <c r="I30" s="87"/>
      <c r="J30" s="87"/>
      <c r="K30" s="115"/>
      <c r="L30" s="107">
        <v>3500000</v>
      </c>
      <c r="M30" s="89"/>
      <c r="N30" s="107">
        <v>3000000</v>
      </c>
      <c r="O30" s="89"/>
      <c r="P30" s="107"/>
      <c r="R30" s="87" t="s">
        <v>115</v>
      </c>
    </row>
    <row r="31" spans="1:18" x14ac:dyDescent="0.25">
      <c r="A31" s="85"/>
      <c r="B31" s="111" t="s">
        <v>166</v>
      </c>
      <c r="C31" s="87"/>
      <c r="D31" s="87"/>
      <c r="E31" s="87"/>
      <c r="F31" s="87"/>
      <c r="G31" s="87"/>
      <c r="H31" s="87">
        <f t="shared" si="2"/>
        <v>0</v>
      </c>
      <c r="I31" s="87"/>
      <c r="J31" s="87"/>
      <c r="K31" s="115">
        <f>+L30-K29</f>
        <v>1500000</v>
      </c>
      <c r="L31" s="107"/>
      <c r="M31" s="89">
        <f>+N30-M29</f>
        <v>2000000</v>
      </c>
      <c r="N31" s="107"/>
      <c r="O31" s="89"/>
      <c r="P31" s="107"/>
      <c r="R31" s="87" t="s">
        <v>210</v>
      </c>
    </row>
    <row r="32" spans="1:18" x14ac:dyDescent="0.25">
      <c r="A32" s="85"/>
      <c r="B32" s="87"/>
      <c r="C32" s="87"/>
      <c r="D32" s="87"/>
      <c r="E32" s="87"/>
      <c r="F32" s="87"/>
      <c r="G32" s="87"/>
      <c r="H32" s="87"/>
      <c r="I32" s="87"/>
      <c r="J32" s="87"/>
      <c r="K32" s="115"/>
      <c r="L32" s="107"/>
      <c r="M32" s="89"/>
      <c r="N32" s="107"/>
      <c r="O32" s="89"/>
      <c r="P32" s="107"/>
      <c r="R32" s="214"/>
    </row>
    <row r="33" spans="1:18" s="213" customFormat="1" x14ac:dyDescent="0.25">
      <c r="A33" s="85"/>
      <c r="B33" s="85"/>
      <c r="C33" s="85"/>
      <c r="D33" s="85"/>
      <c r="E33" s="85"/>
      <c r="F33" s="85"/>
      <c r="G33" s="85"/>
      <c r="H33" s="85"/>
      <c r="I33" s="85"/>
      <c r="J33" s="85"/>
      <c r="K33" s="114"/>
      <c r="L33" s="108"/>
      <c r="M33" s="86"/>
      <c r="N33" s="108"/>
      <c r="O33" s="86"/>
      <c r="P33" s="108"/>
      <c r="Q33" s="46"/>
      <c r="R33" s="212"/>
    </row>
    <row r="34" spans="1:18" s="213" customFormat="1" x14ac:dyDescent="0.25">
      <c r="A34" s="85"/>
      <c r="B34" s="85"/>
      <c r="C34" s="85"/>
      <c r="D34" s="85"/>
      <c r="E34" s="85"/>
      <c r="F34" s="85"/>
      <c r="G34" s="85"/>
      <c r="H34" s="85"/>
      <c r="I34" s="85"/>
      <c r="J34" s="85"/>
      <c r="K34" s="114"/>
      <c r="L34" s="108"/>
      <c r="M34" s="86"/>
      <c r="N34" s="108"/>
      <c r="O34" s="86"/>
      <c r="P34" s="108"/>
      <c r="Q34" s="46"/>
      <c r="R34" s="212"/>
    </row>
    <row r="35" spans="1:18" s="213" customFormat="1" ht="20.25" x14ac:dyDescent="0.3">
      <c r="A35" s="85"/>
      <c r="B35" s="319" t="s">
        <v>380</v>
      </c>
      <c r="C35" s="320"/>
      <c r="D35" s="321"/>
      <c r="E35" s="321"/>
      <c r="F35" s="321"/>
      <c r="G35" s="321"/>
      <c r="H35" s="85"/>
      <c r="I35" s="85"/>
      <c r="J35" s="85"/>
      <c r="K35" s="114"/>
      <c r="L35" s="108"/>
      <c r="M35" s="86"/>
      <c r="N35" s="108"/>
      <c r="O35" s="86"/>
      <c r="P35" s="108"/>
      <c r="Q35" s="46"/>
      <c r="R35" s="212"/>
    </row>
    <row r="36" spans="1:18" s="213" customFormat="1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114"/>
      <c r="L36" s="108"/>
      <c r="M36" s="86"/>
      <c r="N36" s="108"/>
      <c r="O36" s="86"/>
      <c r="P36" s="108"/>
      <c r="Q36" s="46"/>
      <c r="R36" s="212"/>
    </row>
    <row r="37" spans="1:18" s="213" customFormat="1" ht="20.25" x14ac:dyDescent="0.3">
      <c r="A37" s="85"/>
      <c r="B37" s="433" t="s">
        <v>5</v>
      </c>
      <c r="C37" s="433"/>
      <c r="D37" s="433"/>
      <c r="E37" s="433"/>
      <c r="F37" s="433"/>
      <c r="G37" s="433"/>
      <c r="H37" s="433"/>
      <c r="I37" s="433"/>
      <c r="J37" s="433"/>
      <c r="K37" s="434"/>
      <c r="L37" s="435"/>
      <c r="M37" s="436"/>
      <c r="N37" s="435"/>
      <c r="O37" s="436"/>
      <c r="P37" s="435"/>
      <c r="Q37" s="46"/>
      <c r="R37" s="212"/>
    </row>
    <row r="38" spans="1:18" s="213" customFormat="1" ht="20.25" x14ac:dyDescent="0.3">
      <c r="A38" s="85"/>
      <c r="B38" s="433" t="s">
        <v>428</v>
      </c>
      <c r="C38" s="433"/>
      <c r="D38" s="433"/>
      <c r="E38" s="437"/>
      <c r="F38" s="437"/>
      <c r="G38" s="437"/>
      <c r="H38" s="433"/>
      <c r="I38" s="433"/>
      <c r="J38" s="437"/>
      <c r="K38" s="438"/>
      <c r="L38" s="439"/>
      <c r="M38" s="440"/>
      <c r="N38" s="439"/>
      <c r="O38" s="440" t="s">
        <v>53</v>
      </c>
      <c r="P38" s="439"/>
      <c r="Q38" s="46"/>
      <c r="R38" s="212"/>
    </row>
    <row r="39" spans="1:18" s="213" customFormat="1" ht="16.5" x14ac:dyDescent="0.25">
      <c r="A39" s="85"/>
      <c r="B39" s="407" t="s">
        <v>99</v>
      </c>
      <c r="C39" s="408"/>
      <c r="D39" s="408"/>
      <c r="E39" s="408"/>
      <c r="F39" s="408"/>
      <c r="G39" s="408"/>
      <c r="H39" s="409">
        <f t="shared" ref="H39:H41" si="3">IF(A39=0,0,1)</f>
        <v>0</v>
      </c>
      <c r="I39" s="408"/>
      <c r="J39" s="408"/>
      <c r="K39" s="420">
        <f>+M39+M41</f>
        <v>1100000</v>
      </c>
      <c r="L39" s="417"/>
      <c r="M39" s="419">
        <f>+O39</f>
        <v>800000</v>
      </c>
      <c r="N39" s="419"/>
      <c r="O39" s="418">
        <f>+P40</f>
        <v>800000</v>
      </c>
      <c r="P39" s="417"/>
      <c r="Q39" s="46"/>
      <c r="R39" s="87" t="s">
        <v>98</v>
      </c>
    </row>
    <row r="40" spans="1:18" s="213" customFormat="1" ht="16.5" x14ac:dyDescent="0.25">
      <c r="A40" s="85"/>
      <c r="B40" s="407" t="s">
        <v>71</v>
      </c>
      <c r="C40" s="408"/>
      <c r="D40" s="408"/>
      <c r="E40" s="408"/>
      <c r="F40" s="408"/>
      <c r="G40" s="408"/>
      <c r="H40" s="409">
        <f t="shared" si="3"/>
        <v>0</v>
      </c>
      <c r="I40" s="408"/>
      <c r="J40" s="408"/>
      <c r="K40" s="420"/>
      <c r="L40" s="417">
        <f>+F48</f>
        <v>900000</v>
      </c>
      <c r="M40" s="419"/>
      <c r="N40" s="417">
        <f>+G48</f>
        <v>1100000</v>
      </c>
      <c r="O40" s="416" t="s">
        <v>53</v>
      </c>
      <c r="P40" s="417">
        <f>+G45</f>
        <v>800000</v>
      </c>
      <c r="Q40" s="46"/>
      <c r="R40" s="87" t="s">
        <v>70</v>
      </c>
    </row>
    <row r="41" spans="1:18" s="213" customFormat="1" ht="16.5" x14ac:dyDescent="0.25">
      <c r="A41" s="85"/>
      <c r="B41" s="407" t="s">
        <v>167</v>
      </c>
      <c r="C41" s="408"/>
      <c r="D41" s="408"/>
      <c r="E41" s="408"/>
      <c r="F41" s="408"/>
      <c r="G41" s="408"/>
      <c r="H41" s="409">
        <f t="shared" si="3"/>
        <v>0</v>
      </c>
      <c r="I41" s="408"/>
      <c r="J41" s="408"/>
      <c r="K41" s="420"/>
      <c r="L41" s="419">
        <f>+-(F46+F47)</f>
        <v>200000</v>
      </c>
      <c r="M41" s="418">
        <f>+G46</f>
        <v>300000</v>
      </c>
      <c r="N41" s="417"/>
      <c r="O41" s="410"/>
      <c r="P41" s="411"/>
      <c r="Q41" s="46"/>
      <c r="R41" s="87" t="s">
        <v>104</v>
      </c>
    </row>
    <row r="42" spans="1:18" s="213" customFormat="1" x14ac:dyDescent="0.25">
      <c r="A42" s="85"/>
      <c r="B42" s="111"/>
      <c r="C42" s="85"/>
      <c r="D42" s="85"/>
      <c r="E42" s="85"/>
      <c r="F42" s="85"/>
      <c r="G42" s="85"/>
      <c r="H42" s="85"/>
      <c r="I42" s="85"/>
      <c r="J42" s="85"/>
      <c r="K42" s="114"/>
      <c r="L42" s="107"/>
      <c r="M42" s="89"/>
      <c r="N42" s="107"/>
      <c r="O42" s="86"/>
      <c r="P42" s="108"/>
      <c r="Q42" s="46"/>
      <c r="R42" s="87"/>
    </row>
    <row r="43" spans="1:18" s="213" customFormat="1" x14ac:dyDescent="0.25">
      <c r="A43" s="85"/>
      <c r="B43" s="231" t="s">
        <v>382</v>
      </c>
      <c r="C43" s="231"/>
      <c r="D43" s="231"/>
      <c r="E43" s="231"/>
      <c r="F43" s="412">
        <v>2025</v>
      </c>
      <c r="G43" s="412">
        <v>2024</v>
      </c>
      <c r="H43" s="85"/>
      <c r="I43" s="85"/>
      <c r="J43" s="85"/>
      <c r="K43" s="114"/>
      <c r="L43" s="108"/>
      <c r="M43" s="86"/>
      <c r="N43" s="108"/>
      <c r="O43" s="86"/>
      <c r="P43" s="108"/>
      <c r="Q43" s="46"/>
      <c r="R43" s="212"/>
    </row>
    <row r="44" spans="1:18" s="213" customFormat="1" x14ac:dyDescent="0.25">
      <c r="A44" s="85"/>
      <c r="B44" s="231" t="s">
        <v>383</v>
      </c>
      <c r="C44" s="231"/>
      <c r="D44" s="231"/>
      <c r="E44" s="231"/>
      <c r="F44" s="412" t="s">
        <v>127</v>
      </c>
      <c r="G44" s="412" t="s">
        <v>127</v>
      </c>
      <c r="H44" s="85"/>
      <c r="I44" s="85"/>
      <c r="J44" s="85"/>
      <c r="K44" s="114"/>
      <c r="L44" s="108"/>
      <c r="M44" s="86"/>
      <c r="N44" s="108"/>
      <c r="O44" s="86"/>
      <c r="P44" s="108"/>
      <c r="Q44" s="46"/>
      <c r="R44" s="212"/>
    </row>
    <row r="45" spans="1:18" s="213" customFormat="1" x14ac:dyDescent="0.25">
      <c r="A45" s="85"/>
      <c r="B45" s="322" t="s">
        <v>123</v>
      </c>
      <c r="C45" s="322"/>
      <c r="D45" s="322"/>
      <c r="E45" s="322"/>
      <c r="F45" s="413">
        <f>+G48</f>
        <v>1100000</v>
      </c>
      <c r="G45" s="413">
        <v>800000</v>
      </c>
      <c r="H45" s="85"/>
      <c r="I45" s="85"/>
      <c r="J45" s="85"/>
      <c r="K45" s="114"/>
      <c r="L45" s="108"/>
      <c r="M45" s="86"/>
      <c r="N45" s="108"/>
      <c r="O45" s="86"/>
      <c r="P45" s="108"/>
      <c r="Q45" s="46"/>
      <c r="R45" s="212"/>
    </row>
    <row r="46" spans="1:18" s="213" customFormat="1" x14ac:dyDescent="0.25">
      <c r="A46" s="85"/>
      <c r="B46" s="87" t="s">
        <v>124</v>
      </c>
      <c r="C46" s="87"/>
      <c r="D46" s="85"/>
      <c r="E46" s="85"/>
      <c r="F46" s="215">
        <v>400000</v>
      </c>
      <c r="G46" s="215">
        <v>300000</v>
      </c>
      <c r="H46" s="85"/>
      <c r="I46" s="85"/>
      <c r="J46" s="85"/>
      <c r="K46" s="114"/>
      <c r="L46" s="108"/>
      <c r="M46" s="86"/>
      <c r="N46" s="108"/>
      <c r="O46" s="86"/>
      <c r="P46" s="108"/>
      <c r="Q46" s="46"/>
      <c r="R46" s="212"/>
    </row>
    <row r="47" spans="1:18" s="213" customFormat="1" x14ac:dyDescent="0.25">
      <c r="A47" s="85"/>
      <c r="B47" s="109" t="s">
        <v>125</v>
      </c>
      <c r="C47" s="109"/>
      <c r="D47" s="216"/>
      <c r="E47" s="216"/>
      <c r="F47" s="217">
        <v>-600000</v>
      </c>
      <c r="G47" s="217">
        <v>0</v>
      </c>
      <c r="H47" s="85"/>
      <c r="I47" s="85"/>
      <c r="J47" s="85"/>
      <c r="K47" s="114"/>
      <c r="L47" s="108"/>
      <c r="M47" s="86"/>
      <c r="N47" s="108"/>
      <c r="O47" s="86"/>
      <c r="P47" s="108"/>
      <c r="Q47" s="46"/>
      <c r="R47" s="212"/>
    </row>
    <row r="48" spans="1:18" s="213" customFormat="1" x14ac:dyDescent="0.25">
      <c r="A48" s="85"/>
      <c r="B48" s="414" t="s">
        <v>126</v>
      </c>
      <c r="C48" s="414"/>
      <c r="D48" s="414"/>
      <c r="E48" s="414"/>
      <c r="F48" s="415">
        <f>SUM(F45:F47)</f>
        <v>900000</v>
      </c>
      <c r="G48" s="415">
        <f>SUM(G45:G47)</f>
        <v>1100000</v>
      </c>
      <c r="H48" s="85"/>
      <c r="I48" s="85"/>
      <c r="J48" s="85"/>
      <c r="K48" s="114"/>
      <c r="L48" s="108"/>
      <c r="M48" s="86"/>
      <c r="N48" s="108"/>
      <c r="O48" s="86"/>
      <c r="P48" s="108"/>
      <c r="Q48" s="46"/>
      <c r="R48" s="212"/>
    </row>
    <row r="49" spans="1:18" s="213" customFormat="1" x14ac:dyDescent="0.25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114"/>
      <c r="L49" s="108"/>
      <c r="M49" s="86"/>
      <c r="N49" s="108"/>
      <c r="O49" s="86"/>
      <c r="P49" s="108"/>
      <c r="Q49" s="46"/>
      <c r="R49" s="212"/>
    </row>
    <row r="50" spans="1:18" s="213" customFormat="1" ht="20.25" x14ac:dyDescent="0.3">
      <c r="A50" s="85"/>
      <c r="B50" s="433" t="s">
        <v>5</v>
      </c>
      <c r="C50" s="433"/>
      <c r="D50" s="433"/>
      <c r="E50" s="433"/>
      <c r="F50" s="433"/>
      <c r="G50" s="433"/>
      <c r="H50" s="433"/>
      <c r="I50" s="433"/>
      <c r="J50" s="433"/>
      <c r="K50" s="434"/>
      <c r="L50" s="435"/>
      <c r="M50" s="436"/>
      <c r="N50" s="435"/>
      <c r="O50" s="436"/>
      <c r="P50" s="435"/>
      <c r="Q50" s="46"/>
      <c r="R50" s="212"/>
    </row>
    <row r="51" spans="1:18" ht="20.25" x14ac:dyDescent="0.3">
      <c r="A51" s="85"/>
      <c r="B51" s="433" t="s">
        <v>25</v>
      </c>
      <c r="C51" s="433"/>
      <c r="D51" s="433"/>
      <c r="E51" s="437"/>
      <c r="F51" s="437"/>
      <c r="G51" s="437"/>
      <c r="H51" s="433"/>
      <c r="I51" s="433"/>
      <c r="J51" s="437"/>
      <c r="K51" s="434"/>
      <c r="L51" s="439"/>
      <c r="M51" s="440"/>
      <c r="N51" s="439"/>
      <c r="O51" s="440" t="s">
        <v>53</v>
      </c>
      <c r="P51" s="439"/>
      <c r="R51" s="212"/>
    </row>
    <row r="52" spans="1:18" x14ac:dyDescent="0.25">
      <c r="A52" s="85"/>
      <c r="B52" s="329" t="s">
        <v>99</v>
      </c>
      <c r="C52" s="333"/>
      <c r="D52" s="329"/>
      <c r="E52" s="333"/>
      <c r="F52" s="432"/>
      <c r="G52" s="432"/>
      <c r="H52" s="87">
        <f t="shared" ref="H52:H54" si="4">IF(A52=0,0,1)</f>
        <v>0</v>
      </c>
      <c r="I52" s="85"/>
      <c r="J52" s="87"/>
      <c r="K52" s="398">
        <f>+M52+M53</f>
        <v>240000</v>
      </c>
      <c r="L52" s="328"/>
      <c r="M52" s="399">
        <f>+O52</f>
        <v>200000</v>
      </c>
      <c r="N52" s="328"/>
      <c r="O52" s="399">
        <f>+P54</f>
        <v>200000</v>
      </c>
      <c r="P52" s="328"/>
      <c r="R52" s="87" t="s">
        <v>98</v>
      </c>
    </row>
    <row r="53" spans="1:18" x14ac:dyDescent="0.25">
      <c r="A53" s="85"/>
      <c r="B53" s="329" t="s">
        <v>167</v>
      </c>
      <c r="C53" s="333"/>
      <c r="D53" s="329"/>
      <c r="E53" s="333"/>
      <c r="F53" s="432"/>
      <c r="G53" s="432"/>
      <c r="H53" s="87">
        <f t="shared" si="4"/>
        <v>0</v>
      </c>
      <c r="I53" s="85"/>
      <c r="J53" s="87"/>
      <c r="K53" s="330"/>
      <c r="L53" s="328">
        <f>+K52-L54</f>
        <v>90000</v>
      </c>
      <c r="M53" s="399">
        <f>+N54-M52</f>
        <v>40000</v>
      </c>
      <c r="N53" s="328"/>
      <c r="O53" s="399"/>
      <c r="P53" s="328"/>
      <c r="R53" s="87" t="s">
        <v>104</v>
      </c>
    </row>
    <row r="54" spans="1:18" x14ac:dyDescent="0.25">
      <c r="A54" s="85"/>
      <c r="B54" s="329" t="s">
        <v>71</v>
      </c>
      <c r="C54" s="333"/>
      <c r="D54" s="329"/>
      <c r="E54" s="333"/>
      <c r="F54" s="432"/>
      <c r="G54" s="432"/>
      <c r="H54" s="333">
        <f t="shared" si="4"/>
        <v>0</v>
      </c>
      <c r="I54" s="327"/>
      <c r="J54" s="333"/>
      <c r="K54" s="330"/>
      <c r="L54" s="328">
        <f>+D63</f>
        <v>150000</v>
      </c>
      <c r="M54" s="399"/>
      <c r="N54" s="328">
        <f>+E63</f>
        <v>240000</v>
      </c>
      <c r="O54" s="399"/>
      <c r="P54" s="328">
        <f>+F63</f>
        <v>200000</v>
      </c>
      <c r="R54" s="87" t="s">
        <v>70</v>
      </c>
    </row>
    <row r="55" spans="1:18" x14ac:dyDescent="0.25">
      <c r="A55" s="85"/>
      <c r="B55" s="111"/>
      <c r="C55" s="87"/>
      <c r="D55" s="111"/>
      <c r="E55" s="87"/>
      <c r="F55" s="218"/>
      <c r="G55" s="218"/>
      <c r="H55" s="87"/>
      <c r="I55" s="85"/>
      <c r="J55" s="87"/>
      <c r="K55" s="115"/>
      <c r="L55" s="107"/>
      <c r="M55" s="89"/>
      <c r="N55" s="107"/>
      <c r="O55" s="89"/>
      <c r="P55" s="107"/>
      <c r="R55" s="87"/>
    </row>
    <row r="56" spans="1:18" x14ac:dyDescent="0.25">
      <c r="A56" s="85"/>
      <c r="B56" s="219"/>
      <c r="C56" s="219"/>
      <c r="D56" s="220">
        <v>2025</v>
      </c>
      <c r="E56" s="220">
        <v>2024</v>
      </c>
      <c r="F56" s="220">
        <v>2023</v>
      </c>
      <c r="G56" s="218"/>
      <c r="H56" s="85"/>
      <c r="I56" s="85"/>
      <c r="J56" s="87"/>
      <c r="K56" s="115"/>
      <c r="L56" s="107"/>
      <c r="M56" s="89"/>
      <c r="N56" s="107"/>
      <c r="O56" s="89"/>
      <c r="P56" s="107"/>
      <c r="R56" s="214"/>
    </row>
    <row r="57" spans="1:18" x14ac:dyDescent="0.25">
      <c r="A57" s="214"/>
      <c r="B57" s="219"/>
      <c r="C57" s="219"/>
      <c r="D57" s="220" t="s">
        <v>127</v>
      </c>
      <c r="E57" s="220" t="s">
        <v>127</v>
      </c>
      <c r="F57" s="220" t="s">
        <v>127</v>
      </c>
      <c r="G57" s="218"/>
      <c r="H57" s="85"/>
      <c r="I57" s="85"/>
      <c r="J57" s="87"/>
      <c r="K57" s="115"/>
      <c r="L57" s="107"/>
      <c r="M57" s="89"/>
      <c r="N57" s="107"/>
      <c r="O57" s="89"/>
      <c r="P57" s="107"/>
      <c r="R57" s="214"/>
    </row>
    <row r="58" spans="1:18" x14ac:dyDescent="0.25">
      <c r="A58" s="214"/>
      <c r="B58" s="85" t="s">
        <v>130</v>
      </c>
      <c r="C58" s="85"/>
      <c r="D58" s="221">
        <v>15000000</v>
      </c>
      <c r="E58" s="221">
        <v>12000000</v>
      </c>
      <c r="F58" s="429">
        <v>10000000</v>
      </c>
      <c r="G58" s="218"/>
      <c r="H58" s="85"/>
      <c r="I58" s="85"/>
      <c r="J58" s="87"/>
      <c r="K58" s="115"/>
      <c r="L58" s="107"/>
      <c r="M58" s="89"/>
      <c r="N58" s="107"/>
      <c r="O58" s="89"/>
      <c r="P58" s="107"/>
      <c r="R58" s="214"/>
    </row>
    <row r="59" spans="1:18" x14ac:dyDescent="0.25">
      <c r="A59" s="214"/>
      <c r="B59" s="87" t="s">
        <v>203</v>
      </c>
      <c r="C59" s="87"/>
      <c r="D59" s="218">
        <v>100000</v>
      </c>
      <c r="E59" s="218">
        <v>100000</v>
      </c>
      <c r="F59" s="218">
        <v>100000</v>
      </c>
      <c r="G59" s="218"/>
      <c r="H59" s="85"/>
      <c r="I59" s="85"/>
      <c r="J59" s="87"/>
      <c r="K59" s="115"/>
      <c r="L59" s="107"/>
      <c r="M59" s="89"/>
      <c r="N59" s="107"/>
      <c r="O59" s="89"/>
      <c r="P59" s="107"/>
      <c r="R59" s="214"/>
    </row>
    <row r="60" spans="1:18" x14ac:dyDescent="0.25">
      <c r="A60" s="214"/>
      <c r="B60" s="87" t="s">
        <v>204</v>
      </c>
      <c r="C60" s="87"/>
      <c r="D60" s="218">
        <f>+D58/D59</f>
        <v>150</v>
      </c>
      <c r="E60" s="218">
        <f t="shared" ref="E60" si="5">+E58/E59</f>
        <v>120</v>
      </c>
      <c r="F60" s="218">
        <f>+F58/F59</f>
        <v>100</v>
      </c>
      <c r="G60" s="218"/>
      <c r="H60" s="85"/>
      <c r="I60" s="85"/>
      <c r="J60" s="87"/>
      <c r="K60" s="115"/>
      <c r="L60" s="107"/>
      <c r="M60" s="89"/>
      <c r="N60" s="107"/>
      <c r="O60" s="89"/>
      <c r="P60" s="107"/>
      <c r="R60" s="214"/>
    </row>
    <row r="61" spans="1:18" x14ac:dyDescent="0.25">
      <c r="A61" s="214"/>
      <c r="B61" s="109" t="s">
        <v>205</v>
      </c>
      <c r="C61" s="109"/>
      <c r="D61" s="222">
        <v>99000</v>
      </c>
      <c r="E61" s="222">
        <v>98000</v>
      </c>
      <c r="F61" s="222">
        <v>98000</v>
      </c>
      <c r="G61" s="218"/>
      <c r="H61" s="85"/>
      <c r="I61" s="85"/>
      <c r="J61" s="87"/>
      <c r="K61" s="115"/>
      <c r="L61" s="107"/>
      <c r="M61" s="89"/>
      <c r="N61" s="107"/>
      <c r="O61" s="89"/>
      <c r="P61" s="107"/>
      <c r="R61" s="214"/>
    </row>
    <row r="62" spans="1:18" x14ac:dyDescent="0.25">
      <c r="A62" s="214"/>
      <c r="B62" s="109" t="s">
        <v>128</v>
      </c>
      <c r="C62" s="109"/>
      <c r="D62" s="431">
        <f>+D61*D60</f>
        <v>14850000</v>
      </c>
      <c r="E62" s="431">
        <f t="shared" ref="E62:F62" si="6">+E61*E60</f>
        <v>11760000</v>
      </c>
      <c r="F62" s="431">
        <f t="shared" si="6"/>
        <v>9800000</v>
      </c>
      <c r="G62" s="218"/>
      <c r="H62" s="85"/>
      <c r="I62" s="85"/>
      <c r="J62" s="87"/>
      <c r="K62" s="115"/>
      <c r="L62" s="107"/>
      <c r="M62" s="89"/>
      <c r="N62" s="107"/>
      <c r="O62" s="89"/>
      <c r="P62" s="107"/>
      <c r="R62" s="214"/>
    </row>
    <row r="63" spans="1:18" x14ac:dyDescent="0.25">
      <c r="A63" s="214"/>
      <c r="B63" s="223" t="s">
        <v>129</v>
      </c>
      <c r="C63" s="223"/>
      <c r="D63" s="430">
        <f>+D58-D62</f>
        <v>150000</v>
      </c>
      <c r="E63" s="430">
        <f t="shared" ref="E63:F63" si="7">+E58-E62</f>
        <v>240000</v>
      </c>
      <c r="F63" s="430">
        <f t="shared" si="7"/>
        <v>200000</v>
      </c>
      <c r="G63" s="218"/>
      <c r="H63" s="85"/>
      <c r="I63" s="85"/>
      <c r="J63" s="87"/>
      <c r="K63" s="115"/>
      <c r="L63" s="107"/>
      <c r="M63" s="89"/>
      <c r="N63" s="107"/>
      <c r="O63" s="89"/>
      <c r="P63" s="107"/>
      <c r="R63" s="214"/>
    </row>
    <row r="64" spans="1:18" x14ac:dyDescent="0.25">
      <c r="A64" s="214"/>
      <c r="B64" s="87"/>
      <c r="C64" s="85"/>
      <c r="D64" s="85"/>
      <c r="E64" s="85"/>
      <c r="F64" s="221"/>
      <c r="G64" s="221"/>
      <c r="H64" s="85"/>
      <c r="I64" s="85"/>
      <c r="J64" s="87"/>
      <c r="K64" s="115"/>
      <c r="L64" s="107"/>
      <c r="M64" s="89"/>
      <c r="N64" s="107"/>
      <c r="O64" s="89"/>
      <c r="P64" s="107"/>
      <c r="R64" s="214"/>
    </row>
    <row r="65" spans="1:18" x14ac:dyDescent="0.25">
      <c r="A65" s="214"/>
      <c r="B65" s="87"/>
      <c r="C65" s="85"/>
      <c r="D65" s="85"/>
      <c r="E65" s="85"/>
      <c r="F65" s="221"/>
      <c r="G65" s="221"/>
      <c r="H65" s="85"/>
      <c r="I65" s="85"/>
      <c r="J65" s="87"/>
      <c r="K65" s="115"/>
      <c r="L65" s="107"/>
      <c r="M65" s="89"/>
      <c r="N65" s="107"/>
      <c r="O65" s="89"/>
      <c r="P65" s="107"/>
      <c r="R65" s="214"/>
    </row>
    <row r="66" spans="1:18" hidden="1" x14ac:dyDescent="0.25">
      <c r="A66" s="214"/>
      <c r="B66" s="87"/>
      <c r="C66" s="85"/>
      <c r="D66" s="85"/>
      <c r="E66" s="85"/>
      <c r="F66" s="221"/>
      <c r="G66" s="221"/>
      <c r="H66" s="85"/>
      <c r="I66" s="85"/>
      <c r="J66" s="87"/>
      <c r="K66" s="115"/>
      <c r="L66" s="107"/>
      <c r="M66" s="89"/>
      <c r="N66" s="107"/>
      <c r="O66" s="89"/>
      <c r="P66" s="107"/>
      <c r="R66" s="214"/>
    </row>
    <row r="67" spans="1:18" hidden="1" x14ac:dyDescent="0.25">
      <c r="A67" s="214"/>
      <c r="B67" s="87"/>
      <c r="C67" s="85"/>
      <c r="D67" s="85"/>
      <c r="E67" s="85"/>
      <c r="F67" s="221"/>
      <c r="G67" s="221"/>
      <c r="H67" s="85"/>
      <c r="I67" s="85"/>
      <c r="J67" s="87"/>
      <c r="K67" s="115"/>
      <c r="L67" s="107"/>
      <c r="M67" s="89"/>
      <c r="N67" s="107"/>
      <c r="O67" s="89"/>
      <c r="P67" s="107"/>
      <c r="R67" s="214"/>
    </row>
    <row r="68" spans="1:18" hidden="1" x14ac:dyDescent="0.25">
      <c r="A68" s="85"/>
      <c r="B68" s="87"/>
      <c r="C68" s="85"/>
      <c r="D68" s="85"/>
      <c r="E68" s="85"/>
      <c r="F68" s="221"/>
      <c r="G68" s="221"/>
      <c r="H68" s="85"/>
      <c r="I68" s="85"/>
      <c r="J68" s="87"/>
      <c r="K68" s="115"/>
      <c r="L68" s="107"/>
      <c r="M68" s="89"/>
      <c r="N68" s="107"/>
      <c r="O68" s="89"/>
      <c r="P68" s="107"/>
      <c r="R68" s="85"/>
    </row>
    <row r="69" spans="1:18" hidden="1" x14ac:dyDescent="0.25">
      <c r="A69" s="85"/>
      <c r="B69" s="87"/>
      <c r="C69" s="85"/>
      <c r="D69" s="85"/>
      <c r="E69" s="85"/>
      <c r="F69" s="221"/>
      <c r="G69" s="221"/>
      <c r="H69" s="85"/>
      <c r="I69" s="85"/>
      <c r="J69" s="87"/>
      <c r="K69" s="115"/>
      <c r="L69" s="107"/>
      <c r="M69" s="89"/>
      <c r="N69" s="107"/>
      <c r="O69" s="89"/>
      <c r="P69" s="107"/>
      <c r="R69" s="85"/>
    </row>
    <row r="70" spans="1:18" hidden="1" x14ac:dyDescent="0.25">
      <c r="A70" s="214"/>
      <c r="B70" s="87"/>
      <c r="C70" s="85"/>
      <c r="D70" s="85"/>
      <c r="E70" s="85"/>
      <c r="F70" s="221"/>
      <c r="G70" s="221"/>
      <c r="H70" s="85"/>
      <c r="I70" s="85"/>
      <c r="J70" s="87"/>
      <c r="K70" s="115"/>
      <c r="L70" s="107"/>
      <c r="M70" s="89"/>
      <c r="N70" s="107"/>
      <c r="O70" s="89"/>
      <c r="P70" s="107"/>
      <c r="R70" s="214"/>
    </row>
    <row r="71" spans="1:18" hidden="1" x14ac:dyDescent="0.25">
      <c r="A71" s="214"/>
      <c r="B71" s="87"/>
      <c r="C71" s="85"/>
      <c r="D71" s="85"/>
      <c r="E71" s="85"/>
      <c r="F71" s="221"/>
      <c r="G71" s="221"/>
      <c r="H71" s="85"/>
      <c r="I71" s="85"/>
      <c r="J71" s="87"/>
      <c r="K71" s="115"/>
      <c r="L71" s="107"/>
      <c r="M71" s="89"/>
      <c r="N71" s="107"/>
      <c r="O71" s="89"/>
      <c r="P71" s="107"/>
      <c r="R71" s="214"/>
    </row>
    <row r="72" spans="1:18" hidden="1" x14ac:dyDescent="0.25">
      <c r="A72" s="214"/>
      <c r="B72" s="87"/>
      <c r="C72" s="85"/>
      <c r="D72" s="85"/>
      <c r="E72" s="85"/>
      <c r="F72" s="221"/>
      <c r="G72" s="221"/>
      <c r="H72" s="85"/>
      <c r="I72" s="85"/>
      <c r="J72" s="87"/>
      <c r="K72" s="115"/>
      <c r="L72" s="107"/>
      <c r="M72" s="89"/>
      <c r="N72" s="107"/>
      <c r="O72" s="89"/>
      <c r="P72" s="107"/>
      <c r="R72" s="214"/>
    </row>
    <row r="73" spans="1:18" hidden="1" x14ac:dyDescent="0.25">
      <c r="A73" s="214"/>
      <c r="B73" s="87"/>
      <c r="C73" s="85"/>
      <c r="D73" s="85"/>
      <c r="E73" s="85"/>
      <c r="F73" s="221"/>
      <c r="G73" s="221"/>
      <c r="H73" s="85"/>
      <c r="I73" s="85"/>
      <c r="J73" s="87"/>
      <c r="K73" s="115"/>
      <c r="L73" s="107"/>
      <c r="M73" s="89"/>
      <c r="N73" s="107"/>
      <c r="O73" s="89"/>
      <c r="P73" s="107"/>
      <c r="R73" s="214"/>
    </row>
    <row r="74" spans="1:18" hidden="1" x14ac:dyDescent="0.25">
      <c r="A74" s="214"/>
      <c r="B74" s="87"/>
      <c r="C74" s="85"/>
      <c r="D74" s="85"/>
      <c r="E74" s="85"/>
      <c r="F74" s="221"/>
      <c r="G74" s="221"/>
      <c r="H74" s="85"/>
      <c r="I74" s="85"/>
      <c r="J74" s="87"/>
      <c r="K74" s="115"/>
      <c r="L74" s="107"/>
      <c r="M74" s="89"/>
      <c r="N74" s="107"/>
      <c r="O74" s="89"/>
      <c r="P74" s="107"/>
      <c r="R74" s="214"/>
    </row>
    <row r="75" spans="1:18" hidden="1" x14ac:dyDescent="0.25">
      <c r="A75" s="214"/>
      <c r="B75" s="87"/>
      <c r="C75" s="85"/>
      <c r="D75" s="85"/>
      <c r="E75" s="85"/>
      <c r="F75" s="221"/>
      <c r="G75" s="221"/>
      <c r="H75" s="85"/>
      <c r="I75" s="85"/>
      <c r="J75" s="87"/>
      <c r="K75" s="115"/>
      <c r="L75" s="107"/>
      <c r="M75" s="89"/>
      <c r="N75" s="107"/>
      <c r="O75" s="89"/>
      <c r="P75" s="107"/>
      <c r="R75" s="214"/>
    </row>
    <row r="76" spans="1:18" hidden="1" x14ac:dyDescent="0.25">
      <c r="A76" s="87"/>
      <c r="B76" s="87"/>
      <c r="C76" s="85"/>
      <c r="D76" s="85"/>
      <c r="E76" s="85"/>
      <c r="F76" s="221"/>
      <c r="G76" s="221"/>
      <c r="H76" s="85"/>
      <c r="I76" s="85"/>
      <c r="J76" s="87"/>
      <c r="K76" s="115"/>
      <c r="L76" s="107"/>
      <c r="M76" s="89"/>
      <c r="N76" s="107"/>
      <c r="O76" s="89"/>
      <c r="P76" s="107"/>
      <c r="R76" s="87" t="s">
        <v>62</v>
      </c>
    </row>
    <row r="77" spans="1:18" hidden="1" x14ac:dyDescent="0.25">
      <c r="A77" s="87"/>
      <c r="B77" s="87"/>
      <c r="C77" s="85"/>
      <c r="D77" s="85"/>
      <c r="E77" s="85"/>
      <c r="F77" s="221"/>
      <c r="G77" s="221"/>
      <c r="H77" s="85"/>
      <c r="I77" s="85"/>
      <c r="J77" s="87"/>
      <c r="K77" s="115"/>
      <c r="L77" s="107"/>
      <c r="M77" s="89"/>
      <c r="N77" s="107"/>
      <c r="O77" s="89"/>
      <c r="P77" s="107"/>
      <c r="R77" s="87" t="s">
        <v>103</v>
      </c>
    </row>
    <row r="78" spans="1:18" hidden="1" x14ac:dyDescent="0.25">
      <c r="A78" s="87"/>
      <c r="B78" s="87"/>
      <c r="C78" s="85"/>
      <c r="D78" s="85"/>
      <c r="E78" s="85"/>
      <c r="F78" s="221"/>
      <c r="G78" s="221"/>
      <c r="H78" s="85"/>
      <c r="I78" s="85"/>
      <c r="J78" s="87"/>
      <c r="K78" s="115"/>
      <c r="L78" s="107"/>
      <c r="M78" s="89"/>
      <c r="N78" s="107"/>
      <c r="O78" s="89"/>
      <c r="P78" s="107"/>
      <c r="R78" s="87" t="s">
        <v>103</v>
      </c>
    </row>
    <row r="79" spans="1:18" hidden="1" x14ac:dyDescent="0.25">
      <c r="A79" s="87"/>
      <c r="B79" s="87"/>
      <c r="C79" s="85"/>
      <c r="D79" s="85"/>
      <c r="E79" s="85"/>
      <c r="F79" s="221"/>
      <c r="G79" s="221"/>
      <c r="H79" s="85"/>
      <c r="I79" s="85"/>
      <c r="J79" s="87"/>
      <c r="K79" s="115"/>
      <c r="L79" s="107"/>
      <c r="M79" s="89"/>
      <c r="N79" s="107"/>
      <c r="O79" s="89"/>
      <c r="P79" s="107"/>
      <c r="R79" s="87" t="s">
        <v>98</v>
      </c>
    </row>
    <row r="80" spans="1:18" hidden="1" x14ac:dyDescent="0.25">
      <c r="A80" s="214"/>
      <c r="B80" s="87"/>
      <c r="C80" s="87"/>
      <c r="D80" s="87"/>
      <c r="E80" s="87"/>
      <c r="F80" s="87"/>
      <c r="G80" s="87"/>
      <c r="H80" s="87"/>
      <c r="I80" s="87"/>
      <c r="J80" s="87"/>
      <c r="K80" s="115"/>
      <c r="L80" s="107"/>
      <c r="M80" s="89"/>
      <c r="N80" s="107"/>
      <c r="O80" s="89"/>
      <c r="P80" s="107"/>
      <c r="R80" s="214"/>
    </row>
    <row r="81" spans="1:18" ht="20.25" x14ac:dyDescent="0.3">
      <c r="A81" s="214"/>
      <c r="B81" s="451" t="s">
        <v>8</v>
      </c>
      <c r="C81" s="452"/>
      <c r="D81" s="452"/>
      <c r="E81" s="452"/>
      <c r="F81" s="452"/>
      <c r="G81" s="452"/>
      <c r="H81" s="87"/>
      <c r="I81" s="87"/>
      <c r="J81" s="87"/>
      <c r="K81" s="115"/>
      <c r="L81" s="107"/>
      <c r="M81" s="89"/>
      <c r="N81" s="107"/>
      <c r="O81" s="89"/>
      <c r="P81" s="107"/>
      <c r="R81" s="214"/>
    </row>
    <row r="82" spans="1:18" ht="21" thickBot="1" x14ac:dyDescent="0.35">
      <c r="A82" s="214"/>
      <c r="B82" s="451" t="s">
        <v>42</v>
      </c>
      <c r="C82" s="452"/>
      <c r="D82" s="451"/>
      <c r="E82" s="451"/>
      <c r="F82" s="451"/>
      <c r="G82" s="451"/>
      <c r="H82" s="85"/>
      <c r="I82" s="85"/>
      <c r="J82" s="85"/>
      <c r="K82" s="114"/>
      <c r="L82" s="108"/>
      <c r="M82" s="86"/>
      <c r="N82" s="108"/>
      <c r="O82" s="86" t="s">
        <v>53</v>
      </c>
      <c r="P82" s="108"/>
      <c r="R82" s="214"/>
    </row>
    <row r="83" spans="1:18" ht="18.75" thickBot="1" x14ac:dyDescent="0.3">
      <c r="A83" s="87" t="s">
        <v>98</v>
      </c>
      <c r="B83" s="475" t="s">
        <v>99</v>
      </c>
      <c r="C83" s="450"/>
      <c r="D83" s="450"/>
      <c r="E83" s="450"/>
      <c r="F83" s="450"/>
      <c r="G83" s="450"/>
      <c r="H83" s="450">
        <f t="shared" ref="H83:H85" si="8">IF(A83=0,0,1)</f>
        <v>1</v>
      </c>
      <c r="I83" s="450"/>
      <c r="J83" s="450"/>
      <c r="K83" s="488">
        <f>+M83+M84</f>
        <v>600000</v>
      </c>
      <c r="L83" s="489"/>
      <c r="M83" s="487">
        <f>+O83</f>
        <v>450000</v>
      </c>
      <c r="N83" s="467"/>
      <c r="O83" s="494">
        <f>+G97</f>
        <v>450000</v>
      </c>
      <c r="P83" s="476"/>
      <c r="R83" s="87" t="s">
        <v>98</v>
      </c>
    </row>
    <row r="84" spans="1:18" ht="18.75" thickBot="1" x14ac:dyDescent="0.3">
      <c r="A84" s="87" t="s">
        <v>104</v>
      </c>
      <c r="B84" s="475" t="s">
        <v>434</v>
      </c>
      <c r="C84" s="450"/>
      <c r="D84" s="450"/>
      <c r="E84" s="450"/>
      <c r="F84" s="450"/>
      <c r="G84" s="450"/>
      <c r="H84" s="450">
        <f t="shared" si="8"/>
        <v>1</v>
      </c>
      <c r="I84" s="450"/>
      <c r="J84" s="450"/>
      <c r="K84" s="490">
        <f>+L85-K83</f>
        <v>150000</v>
      </c>
      <c r="L84" s="491"/>
      <c r="M84" s="495">
        <f>+N85-M83</f>
        <v>150000</v>
      </c>
      <c r="N84" s="476"/>
      <c r="O84" s="467">
        <v>0</v>
      </c>
      <c r="P84" s="476"/>
      <c r="R84" s="87" t="s">
        <v>104</v>
      </c>
    </row>
    <row r="85" spans="1:18" ht="18.75" thickBot="1" x14ac:dyDescent="0.3">
      <c r="A85" s="87" t="s">
        <v>79</v>
      </c>
      <c r="B85" s="453" t="s">
        <v>137</v>
      </c>
      <c r="C85" s="136"/>
      <c r="D85" s="450"/>
      <c r="E85" s="136"/>
      <c r="F85" s="136"/>
      <c r="G85" s="136"/>
      <c r="H85" s="136">
        <f t="shared" si="8"/>
        <v>1</v>
      </c>
      <c r="I85" s="136"/>
      <c r="J85" s="136"/>
      <c r="K85" s="492"/>
      <c r="L85" s="493">
        <f>+E97</f>
        <v>750000</v>
      </c>
      <c r="M85" s="469"/>
      <c r="N85" s="468">
        <f>+F97</f>
        <v>600000</v>
      </c>
      <c r="O85" s="467"/>
      <c r="P85" s="468">
        <f>+O83</f>
        <v>450000</v>
      </c>
      <c r="R85" s="87" t="s">
        <v>79</v>
      </c>
    </row>
    <row r="86" spans="1:18" x14ac:dyDescent="0.25">
      <c r="A86" s="214"/>
      <c r="B86" s="87"/>
      <c r="C86" s="111"/>
      <c r="D86" s="87"/>
      <c r="E86" s="87"/>
      <c r="F86" s="87"/>
      <c r="G86" s="87"/>
      <c r="H86" s="87"/>
      <c r="I86" s="87"/>
      <c r="J86" s="87"/>
      <c r="K86" s="115"/>
      <c r="L86" s="107"/>
      <c r="M86" s="89"/>
      <c r="N86" s="107"/>
      <c r="O86" s="86"/>
      <c r="P86" s="107"/>
      <c r="R86" s="214"/>
    </row>
    <row r="87" spans="1:18" x14ac:dyDescent="0.25">
      <c r="A87" s="214"/>
      <c r="B87" s="219"/>
      <c r="C87" s="219"/>
      <c r="D87" s="219"/>
      <c r="E87" s="220">
        <v>2025</v>
      </c>
      <c r="F87" s="220">
        <v>2024</v>
      </c>
      <c r="G87" s="220">
        <v>2023</v>
      </c>
      <c r="H87" s="87"/>
      <c r="I87" s="87"/>
      <c r="J87" s="87"/>
      <c r="K87" s="115"/>
      <c r="L87" s="107"/>
      <c r="M87" s="89"/>
      <c r="N87" s="107"/>
      <c r="O87" s="89"/>
      <c r="P87" s="107"/>
      <c r="R87" s="214"/>
    </row>
    <row r="88" spans="1:18" x14ac:dyDescent="0.25">
      <c r="A88" s="214"/>
      <c r="B88" s="219"/>
      <c r="C88" s="219"/>
      <c r="D88" s="219"/>
      <c r="E88" s="220" t="s">
        <v>127</v>
      </c>
      <c r="F88" s="220" t="s">
        <v>127</v>
      </c>
      <c r="G88" s="220" t="s">
        <v>127</v>
      </c>
      <c r="H88" s="87"/>
      <c r="I88" s="87"/>
      <c r="J88" s="87"/>
      <c r="K88" s="115"/>
      <c r="L88" s="107"/>
      <c r="M88" s="89"/>
      <c r="N88" s="107"/>
      <c r="O88" s="89"/>
      <c r="P88" s="107"/>
      <c r="R88" s="214"/>
    </row>
    <row r="89" spans="1:18" x14ac:dyDescent="0.25">
      <c r="A89" s="214"/>
      <c r="B89" s="454" t="s">
        <v>365</v>
      </c>
      <c r="C89" s="454"/>
      <c r="D89" s="455"/>
      <c r="E89" s="456"/>
      <c r="F89" s="456"/>
      <c r="G89" s="456"/>
      <c r="H89" s="87"/>
      <c r="I89" s="87"/>
      <c r="J89" s="87"/>
      <c r="K89" s="115"/>
      <c r="L89" s="107"/>
      <c r="M89" s="89"/>
      <c r="N89" s="107"/>
      <c r="O89" s="89"/>
      <c r="P89" s="107"/>
      <c r="R89" s="214"/>
    </row>
    <row r="90" spans="1:18" x14ac:dyDescent="0.25">
      <c r="A90" s="214"/>
      <c r="B90" s="454" t="s">
        <v>133</v>
      </c>
      <c r="C90" s="454"/>
      <c r="D90" s="454"/>
      <c r="E90" s="462">
        <v>3000000</v>
      </c>
      <c r="F90" s="462">
        <v>3000000</v>
      </c>
      <c r="G90" s="462">
        <v>3000000</v>
      </c>
      <c r="H90" s="87"/>
      <c r="I90" s="87"/>
      <c r="J90" s="87"/>
      <c r="K90" s="115"/>
      <c r="L90" s="107"/>
      <c r="M90" s="89"/>
      <c r="N90" s="107"/>
      <c r="O90" s="89"/>
      <c r="P90" s="107"/>
      <c r="R90" s="214"/>
    </row>
    <row r="91" spans="1:18" x14ac:dyDescent="0.25">
      <c r="A91" s="214"/>
      <c r="B91" s="455" t="s">
        <v>134</v>
      </c>
      <c r="C91" s="455"/>
      <c r="D91" s="455"/>
      <c r="E91" s="457">
        <f>E90*10%*5</f>
        <v>1500000</v>
      </c>
      <c r="F91" s="457">
        <f>F90*10%*4</f>
        <v>1200000</v>
      </c>
      <c r="G91" s="457">
        <f>G90*10%*3</f>
        <v>900000</v>
      </c>
      <c r="H91" s="87"/>
      <c r="I91" s="87"/>
      <c r="J91" s="87"/>
      <c r="K91" s="115"/>
      <c r="L91" s="107"/>
      <c r="M91" s="89"/>
      <c r="N91" s="107"/>
      <c r="O91" s="89"/>
      <c r="P91" s="107"/>
      <c r="R91" s="214"/>
    </row>
    <row r="92" spans="1:18" x14ac:dyDescent="0.25">
      <c r="A92" s="214"/>
      <c r="B92" s="455"/>
      <c r="C92" s="455"/>
      <c r="D92" s="455"/>
      <c r="E92" s="458">
        <f>+E90-E91</f>
        <v>1500000</v>
      </c>
      <c r="F92" s="458">
        <f t="shared" ref="F92:G92" si="9">+F90-F91</f>
        <v>1800000</v>
      </c>
      <c r="G92" s="458">
        <f t="shared" si="9"/>
        <v>2100000</v>
      </c>
      <c r="H92" s="87"/>
      <c r="I92" s="87"/>
      <c r="J92" s="87"/>
      <c r="K92" s="115"/>
      <c r="L92" s="107"/>
      <c r="M92" s="89"/>
      <c r="N92" s="107"/>
      <c r="O92" s="89"/>
      <c r="P92" s="107"/>
      <c r="R92" s="214"/>
    </row>
    <row r="93" spans="1:18" x14ac:dyDescent="0.25">
      <c r="A93" s="214"/>
      <c r="B93" s="322" t="s">
        <v>50</v>
      </c>
      <c r="C93" s="322"/>
      <c r="D93" s="323"/>
      <c r="E93" s="459"/>
      <c r="F93" s="459"/>
      <c r="G93" s="459"/>
      <c r="H93" s="87"/>
      <c r="I93" s="87"/>
      <c r="J93" s="87"/>
      <c r="K93" s="115"/>
      <c r="L93" s="107"/>
      <c r="M93" s="89"/>
      <c r="N93" s="107"/>
      <c r="O93" s="89"/>
      <c r="P93" s="107"/>
      <c r="R93" s="214"/>
    </row>
    <row r="94" spans="1:18" x14ac:dyDescent="0.25">
      <c r="A94" s="214"/>
      <c r="B94" s="322" t="s">
        <v>133</v>
      </c>
      <c r="C94" s="322"/>
      <c r="D94" s="322"/>
      <c r="E94" s="463">
        <v>3000000</v>
      </c>
      <c r="F94" s="463">
        <v>3000000</v>
      </c>
      <c r="G94" s="463">
        <v>3000000</v>
      </c>
      <c r="H94" s="87"/>
      <c r="I94" s="87"/>
      <c r="J94" s="87"/>
      <c r="K94" s="115"/>
      <c r="L94" s="107"/>
      <c r="M94" s="89"/>
      <c r="N94" s="107"/>
      <c r="O94" s="89"/>
      <c r="P94" s="107"/>
      <c r="R94" s="214"/>
    </row>
    <row r="95" spans="1:18" x14ac:dyDescent="0.25">
      <c r="A95" s="214"/>
      <c r="B95" s="323" t="s">
        <v>134</v>
      </c>
      <c r="C95" s="323"/>
      <c r="D95" s="323"/>
      <c r="E95" s="460">
        <f>E94*15%*5</f>
        <v>2250000</v>
      </c>
      <c r="F95" s="460">
        <f>F94*15%*4</f>
        <v>1800000</v>
      </c>
      <c r="G95" s="460">
        <f>G94*15%*3</f>
        <v>1350000</v>
      </c>
      <c r="H95" s="87"/>
      <c r="I95" s="87"/>
      <c r="J95" s="87"/>
      <c r="K95" s="115"/>
      <c r="L95" s="107"/>
      <c r="M95" s="89"/>
      <c r="N95" s="107"/>
      <c r="O95" s="89"/>
      <c r="P95" s="107"/>
      <c r="R95" s="214"/>
    </row>
    <row r="96" spans="1:18" x14ac:dyDescent="0.25">
      <c r="A96" s="214"/>
      <c r="B96" s="323"/>
      <c r="C96" s="323"/>
      <c r="D96" s="323"/>
      <c r="E96" s="461">
        <f>+E94-E95</f>
        <v>750000</v>
      </c>
      <c r="F96" s="461">
        <f t="shared" ref="F96" si="10">+F94-F95</f>
        <v>1200000</v>
      </c>
      <c r="G96" s="461">
        <f t="shared" ref="G96" si="11">+G94-G95</f>
        <v>1650000</v>
      </c>
      <c r="H96" s="87"/>
      <c r="I96" s="87"/>
      <c r="J96" s="87"/>
      <c r="K96" s="115"/>
      <c r="L96" s="107"/>
      <c r="M96" s="89"/>
      <c r="N96" s="107"/>
      <c r="O96" s="89"/>
      <c r="P96" s="107"/>
      <c r="R96" s="214"/>
    </row>
    <row r="97" spans="1:18" x14ac:dyDescent="0.25">
      <c r="A97" s="214"/>
      <c r="B97" s="464" t="s">
        <v>136</v>
      </c>
      <c r="C97" s="464"/>
      <c r="D97" s="465"/>
      <c r="E97" s="466">
        <f t="shared" ref="E97:F97" si="12">+E92-E96</f>
        <v>750000</v>
      </c>
      <c r="F97" s="466">
        <f t="shared" si="12"/>
        <v>600000</v>
      </c>
      <c r="G97" s="466">
        <f>+G92-G96</f>
        <v>450000</v>
      </c>
      <c r="H97" s="87"/>
      <c r="I97" s="87"/>
      <c r="J97" s="87"/>
      <c r="K97" s="115"/>
      <c r="L97" s="107"/>
      <c r="M97" s="89"/>
      <c r="N97" s="107"/>
      <c r="O97" s="89"/>
      <c r="P97" s="107"/>
      <c r="R97" s="214"/>
    </row>
    <row r="98" spans="1:18" x14ac:dyDescent="0.25">
      <c r="A98" s="214"/>
      <c r="B98" s="87"/>
      <c r="C98" s="87"/>
      <c r="D98" s="87"/>
      <c r="E98" s="87"/>
      <c r="F98" s="87"/>
      <c r="G98" s="87"/>
      <c r="H98" s="87"/>
      <c r="I98" s="87"/>
      <c r="J98" s="87"/>
      <c r="K98" s="115"/>
      <c r="L98" s="107"/>
      <c r="M98" s="89"/>
      <c r="N98" s="107"/>
      <c r="O98" s="89"/>
      <c r="P98" s="107"/>
      <c r="R98" s="214"/>
    </row>
    <row r="99" spans="1:18" ht="20.25" x14ac:dyDescent="0.3">
      <c r="A99" s="214"/>
      <c r="B99" s="451" t="s">
        <v>8</v>
      </c>
      <c r="C99" s="452"/>
      <c r="D99" s="452"/>
      <c r="E99" s="452"/>
      <c r="F99" s="452"/>
      <c r="G99" s="452"/>
      <c r="H99" s="87"/>
      <c r="I99" s="87"/>
      <c r="J99" s="87"/>
      <c r="K99" s="115"/>
      <c r="L99" s="107"/>
      <c r="M99" s="89"/>
      <c r="N99" s="107"/>
      <c r="O99" s="89"/>
      <c r="P99" s="107"/>
      <c r="R99" s="214"/>
    </row>
    <row r="100" spans="1:18" ht="20.25" x14ac:dyDescent="0.3">
      <c r="A100" s="214"/>
      <c r="B100" s="451" t="s">
        <v>43</v>
      </c>
      <c r="C100" s="452"/>
      <c r="D100" s="451"/>
      <c r="E100" s="451"/>
      <c r="F100" s="451"/>
      <c r="G100" s="451"/>
      <c r="H100" s="87"/>
      <c r="I100" s="87"/>
      <c r="J100" s="87"/>
      <c r="K100" s="115"/>
      <c r="L100" s="107"/>
      <c r="M100" s="89"/>
      <c r="N100" s="107"/>
      <c r="O100" s="89" t="s">
        <v>53</v>
      </c>
      <c r="P100" s="107"/>
      <c r="R100" s="214"/>
    </row>
    <row r="101" spans="1:18" x14ac:dyDescent="0.25">
      <c r="A101" s="87"/>
      <c r="B101" s="111" t="s">
        <v>99</v>
      </c>
      <c r="C101" s="87"/>
      <c r="D101" s="87"/>
      <c r="E101" s="87"/>
      <c r="F101" s="87"/>
      <c r="G101" s="87"/>
      <c r="H101" s="87">
        <f t="shared" ref="H101:H103" si="13">IF(A101=0,0,1)</f>
        <v>0</v>
      </c>
      <c r="I101" s="87"/>
      <c r="J101" s="87"/>
      <c r="K101" s="115">
        <f>+M101+M102</f>
        <v>160000</v>
      </c>
      <c r="L101" s="107"/>
      <c r="M101" s="89">
        <f>+O101</f>
        <v>40000</v>
      </c>
      <c r="N101" s="107"/>
      <c r="O101" s="89">
        <f>+G117</f>
        <v>40000</v>
      </c>
      <c r="P101" s="107"/>
      <c r="R101" s="87" t="s">
        <v>98</v>
      </c>
    </row>
    <row r="102" spans="1:18" x14ac:dyDescent="0.25">
      <c r="A102" s="87"/>
      <c r="B102" s="111" t="s">
        <v>167</v>
      </c>
      <c r="C102" s="87"/>
      <c r="D102" s="87"/>
      <c r="E102" s="87"/>
      <c r="F102" s="87"/>
      <c r="G102" s="87"/>
      <c r="H102" s="87">
        <f t="shared" si="13"/>
        <v>0</v>
      </c>
      <c r="I102" s="87"/>
      <c r="J102" s="87"/>
      <c r="K102" s="115">
        <f>+L103-K101</f>
        <v>120000</v>
      </c>
      <c r="L102" s="107"/>
      <c r="M102" s="89">
        <f>+N103-M101</f>
        <v>120000</v>
      </c>
      <c r="N102" s="107"/>
      <c r="O102" s="89">
        <v>0</v>
      </c>
      <c r="P102" s="107"/>
      <c r="R102" s="87" t="s">
        <v>104</v>
      </c>
    </row>
    <row r="103" spans="1:18" x14ac:dyDescent="0.25">
      <c r="A103" s="87"/>
      <c r="B103" s="111" t="s">
        <v>137</v>
      </c>
      <c r="C103" s="87"/>
      <c r="D103" s="87"/>
      <c r="E103" s="87"/>
      <c r="F103" s="87"/>
      <c r="G103" s="87"/>
      <c r="H103" s="87">
        <f t="shared" si="13"/>
        <v>0</v>
      </c>
      <c r="I103" s="87"/>
      <c r="J103" s="87"/>
      <c r="K103" s="115"/>
      <c r="L103" s="107">
        <f>+E117</f>
        <v>280000</v>
      </c>
      <c r="M103" s="89"/>
      <c r="N103" s="107">
        <f>+F117</f>
        <v>160000</v>
      </c>
      <c r="O103" s="89"/>
      <c r="P103" s="107">
        <f>+O101</f>
        <v>40000</v>
      </c>
      <c r="R103" s="87" t="s">
        <v>79</v>
      </c>
    </row>
    <row r="104" spans="1:18" x14ac:dyDescent="0.25">
      <c r="A104" s="87"/>
      <c r="B104" s="111"/>
      <c r="C104" s="87"/>
      <c r="D104" s="87"/>
      <c r="E104" s="87"/>
      <c r="F104" s="87"/>
      <c r="G104" s="87"/>
      <c r="H104" s="87"/>
      <c r="I104" s="87"/>
      <c r="J104" s="87"/>
      <c r="K104" s="115"/>
      <c r="L104" s="107"/>
      <c r="M104" s="89"/>
      <c r="N104" s="107"/>
      <c r="O104" s="89"/>
      <c r="P104" s="107"/>
      <c r="R104" s="87"/>
    </row>
    <row r="105" spans="1:18" x14ac:dyDescent="0.25">
      <c r="A105" s="212"/>
      <c r="B105" s="219"/>
      <c r="C105" s="219"/>
      <c r="D105" s="219"/>
      <c r="E105" s="220">
        <v>2025</v>
      </c>
      <c r="F105" s="220">
        <v>2024</v>
      </c>
      <c r="G105" s="220">
        <v>2023</v>
      </c>
      <c r="H105" s="87"/>
      <c r="I105" s="87"/>
      <c r="J105" s="87"/>
      <c r="K105" s="115"/>
      <c r="L105" s="107"/>
      <c r="M105" s="89"/>
      <c r="N105" s="107"/>
      <c r="O105" s="89"/>
      <c r="P105" s="107"/>
      <c r="R105" s="212"/>
    </row>
    <row r="106" spans="1:18" x14ac:dyDescent="0.25">
      <c r="A106" s="212"/>
      <c r="B106" s="219"/>
      <c r="C106" s="219"/>
      <c r="D106" s="219"/>
      <c r="E106" s="220" t="s">
        <v>127</v>
      </c>
      <c r="F106" s="220" t="s">
        <v>127</v>
      </c>
      <c r="G106" s="220" t="s">
        <v>127</v>
      </c>
      <c r="H106" s="87"/>
      <c r="I106" s="87"/>
      <c r="J106" s="87"/>
      <c r="K106" s="115"/>
      <c r="L106" s="107"/>
      <c r="M106" s="89"/>
      <c r="N106" s="107"/>
      <c r="O106" s="89"/>
      <c r="P106" s="107"/>
      <c r="R106" s="212"/>
    </row>
    <row r="107" spans="1:18" x14ac:dyDescent="0.25">
      <c r="A107" s="212"/>
      <c r="B107" s="85" t="s">
        <v>138</v>
      </c>
      <c r="C107" s="85"/>
      <c r="D107" s="87"/>
      <c r="E107" s="212"/>
      <c r="F107" s="212"/>
      <c r="G107" s="212"/>
      <c r="H107" s="87"/>
      <c r="I107" s="87"/>
      <c r="J107" s="87"/>
      <c r="K107" s="115"/>
      <c r="L107" s="107"/>
      <c r="M107" s="89"/>
      <c r="N107" s="107"/>
      <c r="O107" s="89"/>
      <c r="P107" s="107"/>
      <c r="R107" s="212"/>
    </row>
    <row r="108" spans="1:18" x14ac:dyDescent="0.25">
      <c r="A108" s="212"/>
      <c r="B108" s="87" t="s">
        <v>133</v>
      </c>
      <c r="C108" s="87"/>
      <c r="D108" s="87"/>
      <c r="E108" s="218">
        <v>2000000</v>
      </c>
      <c r="F108" s="218">
        <v>2000000</v>
      </c>
      <c r="G108" s="218">
        <v>2000000</v>
      </c>
      <c r="H108" s="87"/>
      <c r="I108" s="87"/>
      <c r="J108" s="87"/>
      <c r="K108" s="115"/>
      <c r="L108" s="107"/>
      <c r="M108" s="89"/>
      <c r="N108" s="107"/>
      <c r="O108" s="89"/>
      <c r="P108" s="107"/>
      <c r="R108" s="212"/>
    </row>
    <row r="109" spans="1:18" x14ac:dyDescent="0.25">
      <c r="A109" s="212"/>
      <c r="B109" s="87" t="s">
        <v>134</v>
      </c>
      <c r="C109" s="87"/>
      <c r="D109" s="87"/>
      <c r="E109" s="218">
        <f>E108*10%*5</f>
        <v>1000000</v>
      </c>
      <c r="F109" s="218">
        <f>F108*10%*4</f>
        <v>800000</v>
      </c>
      <c r="G109" s="218">
        <f>G108*10%*3</f>
        <v>600000</v>
      </c>
      <c r="H109" s="87"/>
      <c r="I109" s="87"/>
      <c r="J109" s="87"/>
      <c r="K109" s="115"/>
      <c r="L109" s="107"/>
      <c r="M109" s="89"/>
      <c r="N109" s="107"/>
      <c r="O109" s="89"/>
      <c r="P109" s="107"/>
      <c r="R109" s="212"/>
    </row>
    <row r="110" spans="1:18" x14ac:dyDescent="0.25">
      <c r="A110" s="212"/>
      <c r="B110" s="87"/>
      <c r="C110" s="87"/>
      <c r="D110" s="87"/>
      <c r="E110" s="224">
        <f>+E108-E109</f>
        <v>1000000</v>
      </c>
      <c r="F110" s="224">
        <f t="shared" ref="F110" si="14">+F108-F109</f>
        <v>1200000</v>
      </c>
      <c r="G110" s="224">
        <f t="shared" ref="G110" si="15">+G108-G109</f>
        <v>1400000</v>
      </c>
      <c r="H110" s="87"/>
      <c r="I110" s="87"/>
      <c r="J110" s="87"/>
      <c r="K110" s="115"/>
      <c r="L110" s="107"/>
      <c r="M110" s="89"/>
      <c r="N110" s="107"/>
      <c r="O110" s="89"/>
      <c r="P110" s="107"/>
      <c r="R110" s="212"/>
    </row>
    <row r="111" spans="1:18" x14ac:dyDescent="0.25">
      <c r="A111" s="212"/>
      <c r="B111" s="85" t="s">
        <v>139</v>
      </c>
      <c r="C111" s="85"/>
      <c r="D111" s="87"/>
      <c r="E111" s="212"/>
      <c r="F111" s="212"/>
      <c r="G111" s="212"/>
      <c r="H111" s="87"/>
      <c r="I111" s="87"/>
      <c r="J111" s="87"/>
      <c r="K111" s="115"/>
      <c r="L111" s="107"/>
      <c r="M111" s="89"/>
      <c r="N111" s="107"/>
      <c r="O111" s="89"/>
      <c r="P111" s="107"/>
      <c r="R111" s="212"/>
    </row>
    <row r="112" spans="1:18" x14ac:dyDescent="0.25">
      <c r="A112" s="212"/>
      <c r="B112" s="87" t="s">
        <v>140</v>
      </c>
      <c r="C112" s="87"/>
      <c r="D112" s="227">
        <v>0.1</v>
      </c>
      <c r="E112" s="218">
        <v>1200000</v>
      </c>
      <c r="F112" s="218">
        <v>1200000</v>
      </c>
      <c r="G112" s="218">
        <v>1200000</v>
      </c>
      <c r="H112" s="87"/>
      <c r="I112" s="87"/>
      <c r="J112" s="87"/>
      <c r="K112" s="115"/>
      <c r="L112" s="107"/>
      <c r="M112" s="89"/>
      <c r="N112" s="107"/>
      <c r="O112" s="89"/>
      <c r="P112" s="107"/>
      <c r="R112" s="212"/>
    </row>
    <row r="113" spans="1:18" x14ac:dyDescent="0.25">
      <c r="A113" s="212"/>
      <c r="B113" s="87" t="s">
        <v>141</v>
      </c>
      <c r="C113" s="87"/>
      <c r="D113" s="227">
        <v>0.25</v>
      </c>
      <c r="E113" s="218">
        <v>800000</v>
      </c>
      <c r="F113" s="218">
        <v>800000</v>
      </c>
      <c r="G113" s="218">
        <v>800000</v>
      </c>
      <c r="H113" s="87"/>
      <c r="I113" s="87"/>
      <c r="J113" s="87"/>
      <c r="K113" s="115"/>
      <c r="L113" s="107"/>
      <c r="M113" s="89"/>
      <c r="N113" s="107"/>
      <c r="O113" s="89"/>
      <c r="P113" s="107"/>
      <c r="R113" s="212"/>
    </row>
    <row r="114" spans="1:18" x14ac:dyDescent="0.25">
      <c r="A114" s="212"/>
      <c r="B114" s="87" t="s">
        <v>142</v>
      </c>
      <c r="C114" s="87"/>
      <c r="D114" s="87"/>
      <c r="E114" s="218">
        <f>E112*$D$112*4</f>
        <v>480000</v>
      </c>
      <c r="F114" s="218">
        <f>F112*$D$112*3</f>
        <v>360000</v>
      </c>
      <c r="G114" s="218">
        <f>G112*$D$112*2</f>
        <v>240000</v>
      </c>
      <c r="H114" s="87"/>
      <c r="I114" s="87"/>
      <c r="J114" s="87"/>
      <c r="K114" s="115"/>
      <c r="L114" s="107"/>
      <c r="M114" s="89"/>
      <c r="N114" s="107"/>
      <c r="O114" s="89"/>
      <c r="P114" s="107"/>
      <c r="R114" s="212"/>
    </row>
    <row r="115" spans="1:18" x14ac:dyDescent="0.25">
      <c r="A115" s="212"/>
      <c r="B115" s="87" t="s">
        <v>143</v>
      </c>
      <c r="C115" s="87"/>
      <c r="D115" s="87"/>
      <c r="E115" s="218">
        <f>E113*$D$113*4</f>
        <v>800000</v>
      </c>
      <c r="F115" s="218">
        <f>F113*$D$113*3</f>
        <v>600000</v>
      </c>
      <c r="G115" s="218">
        <f>G113*$D$113*2</f>
        <v>400000</v>
      </c>
      <c r="H115" s="87"/>
      <c r="I115" s="87"/>
      <c r="J115" s="87"/>
      <c r="K115" s="115"/>
      <c r="L115" s="107"/>
      <c r="M115" s="89"/>
      <c r="N115" s="107"/>
      <c r="O115" s="89"/>
      <c r="P115" s="107"/>
      <c r="R115" s="212"/>
    </row>
    <row r="116" spans="1:18" x14ac:dyDescent="0.25">
      <c r="A116" s="212"/>
      <c r="B116" s="87"/>
      <c r="C116" s="87"/>
      <c r="D116" s="87"/>
      <c r="E116" s="224">
        <f>+E112+E113-E114-E115</f>
        <v>720000</v>
      </c>
      <c r="F116" s="224">
        <f t="shared" ref="F116:G116" si="16">+F112+F113-F114-F115</f>
        <v>1040000</v>
      </c>
      <c r="G116" s="224">
        <f t="shared" si="16"/>
        <v>1360000</v>
      </c>
      <c r="H116" s="87"/>
      <c r="I116" s="87"/>
      <c r="J116" s="87"/>
      <c r="K116" s="115"/>
      <c r="L116" s="107"/>
      <c r="M116" s="89"/>
      <c r="N116" s="107"/>
      <c r="O116" s="89"/>
      <c r="P116" s="107"/>
      <c r="R116" s="212"/>
    </row>
    <row r="117" spans="1:18" x14ac:dyDescent="0.25">
      <c r="A117" s="212"/>
      <c r="B117" s="85" t="s">
        <v>136</v>
      </c>
      <c r="C117" s="85"/>
      <c r="D117" s="87"/>
      <c r="E117" s="224">
        <f t="shared" ref="E117" si="17">+E110-E116</f>
        <v>280000</v>
      </c>
      <c r="F117" s="224">
        <f t="shared" ref="F117" si="18">+F110-F116</f>
        <v>160000</v>
      </c>
      <c r="G117" s="224">
        <f>+G110-G116</f>
        <v>40000</v>
      </c>
      <c r="H117" s="87"/>
      <c r="I117" s="87"/>
      <c r="J117" s="87"/>
      <c r="K117" s="115"/>
      <c r="L117" s="107"/>
      <c r="M117" s="89"/>
      <c r="N117" s="107"/>
      <c r="O117" s="89"/>
      <c r="P117" s="107"/>
      <c r="R117" s="212"/>
    </row>
    <row r="118" spans="1:18" x14ac:dyDescent="0.25">
      <c r="A118" s="212"/>
      <c r="B118" s="85"/>
      <c r="C118" s="85"/>
      <c r="D118" s="87"/>
      <c r="E118" s="87"/>
      <c r="F118" s="87"/>
      <c r="G118" s="87"/>
      <c r="H118" s="87"/>
      <c r="I118" s="87"/>
      <c r="J118" s="87"/>
      <c r="K118" s="115"/>
      <c r="L118" s="107"/>
      <c r="M118" s="89"/>
      <c r="N118" s="107"/>
      <c r="O118" s="89"/>
      <c r="P118" s="107"/>
      <c r="R118" s="212"/>
    </row>
    <row r="119" spans="1:18" ht="20.25" x14ac:dyDescent="0.3">
      <c r="A119" s="212"/>
      <c r="B119" s="451" t="s">
        <v>8</v>
      </c>
      <c r="C119" s="452"/>
      <c r="D119" s="452"/>
      <c r="E119" s="452"/>
      <c r="F119" s="452"/>
      <c r="G119" s="452"/>
      <c r="H119" s="87"/>
      <c r="I119" s="87"/>
      <c r="J119" s="87"/>
      <c r="K119" s="115"/>
      <c r="L119" s="107"/>
      <c r="M119" s="89"/>
      <c r="N119" s="107"/>
      <c r="O119" s="89"/>
      <c r="P119" s="107"/>
      <c r="R119" s="212"/>
    </row>
    <row r="120" spans="1:18" ht="20.25" x14ac:dyDescent="0.3">
      <c r="A120" s="212"/>
      <c r="B120" s="451" t="s">
        <v>45</v>
      </c>
      <c r="C120" s="452"/>
      <c r="D120" s="451"/>
      <c r="E120" s="451"/>
      <c r="F120" s="451"/>
      <c r="G120" s="451"/>
      <c r="H120" s="87"/>
      <c r="I120" s="87"/>
      <c r="J120" s="87"/>
      <c r="K120" s="115"/>
      <c r="L120" s="107"/>
      <c r="M120" s="89"/>
      <c r="N120" s="107"/>
      <c r="O120" s="89" t="s">
        <v>53</v>
      </c>
      <c r="P120" s="107"/>
      <c r="R120" s="212"/>
    </row>
    <row r="121" spans="1:18" s="33" customFormat="1" x14ac:dyDescent="0.25">
      <c r="A121" s="87"/>
      <c r="B121" s="87" t="s">
        <v>146</v>
      </c>
      <c r="C121" s="87"/>
      <c r="D121" s="87"/>
      <c r="F121" s="87"/>
      <c r="G121" s="225">
        <v>3000000</v>
      </c>
      <c r="H121" s="87"/>
      <c r="I121" s="87"/>
      <c r="J121" s="87"/>
      <c r="K121" s="115"/>
      <c r="L121" s="107"/>
      <c r="M121" s="89"/>
      <c r="N121" s="107"/>
      <c r="O121" s="89"/>
      <c r="P121" s="107"/>
      <c r="Q121" s="46"/>
      <c r="R121" s="87"/>
    </row>
    <row r="122" spans="1:18" x14ac:dyDescent="0.25">
      <c r="A122" s="87"/>
      <c r="B122" s="111" t="s">
        <v>97</v>
      </c>
      <c r="C122" s="87"/>
      <c r="D122" s="87"/>
      <c r="E122" s="87"/>
      <c r="F122" s="87"/>
      <c r="G122" s="87"/>
      <c r="H122" s="87">
        <f t="shared" ref="H122:H123" si="19">IF(A122=0,0,1)</f>
        <v>0</v>
      </c>
      <c r="I122" s="87"/>
      <c r="J122" s="87"/>
      <c r="K122" s="115">
        <f>+G121</f>
        <v>3000000</v>
      </c>
      <c r="L122" s="107"/>
      <c r="M122" s="89">
        <f>+G121</f>
        <v>3000000</v>
      </c>
      <c r="N122" s="107"/>
      <c r="O122" s="89">
        <f>+G121</f>
        <v>3000000</v>
      </c>
      <c r="P122" s="107"/>
      <c r="R122" s="87" t="s">
        <v>96</v>
      </c>
    </row>
    <row r="123" spans="1:18" x14ac:dyDescent="0.25">
      <c r="A123" s="87"/>
      <c r="B123" s="111" t="s">
        <v>144</v>
      </c>
      <c r="C123" s="87"/>
      <c r="D123" s="87"/>
      <c r="E123" s="87"/>
      <c r="F123" s="87"/>
      <c r="G123" s="87"/>
      <c r="H123" s="87">
        <f t="shared" si="19"/>
        <v>0</v>
      </c>
      <c r="I123" s="87"/>
      <c r="J123" s="87"/>
      <c r="K123" s="115"/>
      <c r="L123" s="107">
        <f>+K122</f>
        <v>3000000</v>
      </c>
      <c r="M123" s="89"/>
      <c r="N123" s="107">
        <f>+M122</f>
        <v>3000000</v>
      </c>
      <c r="O123" s="89"/>
      <c r="P123" s="107">
        <f>+O122</f>
        <v>3000000</v>
      </c>
      <c r="R123" s="87" t="s">
        <v>145</v>
      </c>
    </row>
    <row r="124" spans="1:18" x14ac:dyDescent="0.25">
      <c r="A124" s="87"/>
      <c r="B124" s="87"/>
      <c r="C124" s="87"/>
      <c r="D124" s="87"/>
      <c r="E124" s="87"/>
      <c r="F124" s="87"/>
      <c r="G124" s="87"/>
      <c r="H124" s="87"/>
      <c r="I124" s="87"/>
      <c r="J124" s="87"/>
      <c r="K124" s="115"/>
      <c r="L124" s="107"/>
      <c r="M124" s="89"/>
      <c r="N124" s="107"/>
      <c r="O124" s="89"/>
      <c r="P124" s="107"/>
      <c r="R124" s="87"/>
    </row>
    <row r="125" spans="1:18" ht="20.25" x14ac:dyDescent="0.3">
      <c r="A125" s="87"/>
      <c r="B125" s="451" t="s">
        <v>8</v>
      </c>
      <c r="C125" s="452"/>
      <c r="D125" s="452"/>
      <c r="E125" s="452"/>
      <c r="F125" s="452"/>
      <c r="G125" s="452"/>
      <c r="H125" s="87"/>
      <c r="I125" s="87"/>
      <c r="J125" s="87"/>
      <c r="K125" s="115"/>
      <c r="L125" s="107"/>
      <c r="M125" s="89"/>
      <c r="N125" s="107"/>
      <c r="O125" s="89"/>
      <c r="P125" s="107"/>
      <c r="R125" s="87"/>
    </row>
    <row r="126" spans="1:18" ht="20.25" x14ac:dyDescent="0.3">
      <c r="A126" s="87"/>
      <c r="B126" s="451" t="s">
        <v>44</v>
      </c>
      <c r="C126" s="452"/>
      <c r="D126" s="451"/>
      <c r="E126" s="451"/>
      <c r="F126" s="451"/>
      <c r="G126" s="451"/>
      <c r="H126" s="87"/>
      <c r="I126" s="87"/>
      <c r="J126" s="87"/>
      <c r="K126" s="115"/>
      <c r="L126" s="107"/>
      <c r="M126" s="89" t="s">
        <v>53</v>
      </c>
      <c r="N126" s="107"/>
      <c r="O126" s="89"/>
      <c r="P126" s="107"/>
      <c r="R126" s="87"/>
    </row>
    <row r="127" spans="1:18" x14ac:dyDescent="0.25">
      <c r="A127" s="87"/>
      <c r="B127" s="85" t="s">
        <v>416</v>
      </c>
      <c r="C127" s="87"/>
      <c r="D127" s="87"/>
      <c r="E127" s="225"/>
      <c r="F127" s="87"/>
      <c r="G127" s="228">
        <v>5000000</v>
      </c>
      <c r="H127" s="87"/>
      <c r="I127" s="87"/>
      <c r="J127" s="87"/>
      <c r="K127" s="115"/>
      <c r="L127" s="107"/>
      <c r="M127" s="89"/>
      <c r="N127" s="107"/>
      <c r="O127" s="89"/>
      <c r="P127" s="107"/>
      <c r="R127" s="87"/>
    </row>
    <row r="128" spans="1:18" x14ac:dyDescent="0.25">
      <c r="A128" s="87"/>
      <c r="B128" s="87"/>
      <c r="C128" s="87"/>
      <c r="D128" s="87"/>
      <c r="E128" s="87"/>
      <c r="F128" s="87"/>
      <c r="G128" s="87"/>
      <c r="H128" s="87"/>
      <c r="I128" s="87"/>
      <c r="J128" s="87"/>
      <c r="K128" s="115"/>
      <c r="L128" s="107"/>
      <c r="M128" s="89"/>
      <c r="N128" s="107"/>
      <c r="O128" s="89"/>
      <c r="P128" s="107"/>
      <c r="R128" s="87"/>
    </row>
    <row r="129" spans="1:18" x14ac:dyDescent="0.25">
      <c r="A129" s="87"/>
      <c r="B129" s="111" t="s">
        <v>137</v>
      </c>
      <c r="C129" s="87"/>
      <c r="D129" s="87"/>
      <c r="E129" s="87"/>
      <c r="F129" s="87"/>
      <c r="G129" s="87"/>
      <c r="H129" s="87">
        <f t="shared" ref="H129:H130" si="20">IF(A129=0,0,1)</f>
        <v>0</v>
      </c>
      <c r="I129" s="87"/>
      <c r="J129" s="87"/>
      <c r="K129" s="115">
        <f>+M129</f>
        <v>2000000</v>
      </c>
      <c r="L129" s="107"/>
      <c r="M129" s="89">
        <f>+O129</f>
        <v>2000000</v>
      </c>
      <c r="N129" s="107"/>
      <c r="O129" s="89">
        <f>+G127+-G121</f>
        <v>2000000</v>
      </c>
      <c r="P129" s="107"/>
      <c r="R129" s="87" t="s">
        <v>79</v>
      </c>
    </row>
    <row r="130" spans="1:18" x14ac:dyDescent="0.25">
      <c r="A130" s="87"/>
      <c r="B130" s="111" t="s">
        <v>144</v>
      </c>
      <c r="C130" s="87"/>
      <c r="D130" s="87"/>
      <c r="E130" s="87"/>
      <c r="F130" s="87"/>
      <c r="G130" s="87"/>
      <c r="H130" s="87">
        <f t="shared" si="20"/>
        <v>0</v>
      </c>
      <c r="I130" s="87"/>
      <c r="J130" s="87"/>
      <c r="K130" s="115"/>
      <c r="L130" s="107">
        <f>+K129</f>
        <v>2000000</v>
      </c>
      <c r="M130" s="89"/>
      <c r="N130" s="107">
        <f>+M129</f>
        <v>2000000</v>
      </c>
      <c r="O130" s="89"/>
      <c r="P130" s="107">
        <f>+O129</f>
        <v>2000000</v>
      </c>
      <c r="R130" s="87" t="s">
        <v>145</v>
      </c>
    </row>
    <row r="131" spans="1:18" x14ac:dyDescent="0.25">
      <c r="A131" s="87"/>
      <c r="B131" s="87"/>
      <c r="C131" s="87"/>
      <c r="D131" s="87"/>
      <c r="E131" s="87"/>
      <c r="F131" s="87"/>
      <c r="G131" s="87"/>
      <c r="H131" s="87"/>
      <c r="I131" s="87"/>
      <c r="J131" s="87"/>
      <c r="K131" s="115"/>
      <c r="L131" s="107"/>
      <c r="M131" s="89"/>
      <c r="N131" s="107"/>
      <c r="O131" s="89"/>
      <c r="P131" s="107"/>
      <c r="R131" s="87"/>
    </row>
    <row r="132" spans="1:18" ht="20.25" x14ac:dyDescent="0.3">
      <c r="A132" s="87"/>
      <c r="B132" s="451" t="s">
        <v>8</v>
      </c>
      <c r="C132" s="452"/>
      <c r="D132" s="452"/>
      <c r="E132" s="452"/>
      <c r="F132" s="452"/>
      <c r="G132" s="452"/>
      <c r="H132" s="87"/>
      <c r="I132" s="87"/>
      <c r="J132" s="87"/>
      <c r="K132" s="115"/>
      <c r="L132" s="107"/>
      <c r="M132" s="89"/>
      <c r="N132" s="107"/>
      <c r="O132" s="89"/>
      <c r="P132" s="107"/>
      <c r="R132" s="87"/>
    </row>
    <row r="133" spans="1:18" s="213" customFormat="1" ht="20.25" x14ac:dyDescent="0.3">
      <c r="A133" s="87"/>
      <c r="B133" s="451" t="s">
        <v>46</v>
      </c>
      <c r="C133" s="452"/>
      <c r="D133" s="451"/>
      <c r="E133" s="451"/>
      <c r="F133" s="451"/>
      <c r="G133" s="451"/>
      <c r="H133" s="85"/>
      <c r="I133" s="85"/>
      <c r="J133" s="85"/>
      <c r="K133" s="114"/>
      <c r="L133" s="108"/>
      <c r="M133" s="86"/>
      <c r="N133" s="108"/>
      <c r="O133" s="86"/>
      <c r="P133" s="108"/>
      <c r="Q133" s="46"/>
      <c r="R133" s="87"/>
    </row>
    <row r="134" spans="1:18" x14ac:dyDescent="0.25">
      <c r="A134" s="87"/>
      <c r="B134" s="111" t="s">
        <v>137</v>
      </c>
      <c r="C134" s="87"/>
      <c r="D134" s="87"/>
      <c r="E134" s="87"/>
      <c r="F134" s="87"/>
      <c r="G134" s="87"/>
      <c r="H134" s="87">
        <f t="shared" ref="H134:H136" si="21">IF(A134=0,0,1)</f>
        <v>0</v>
      </c>
      <c r="I134" s="87"/>
      <c r="J134" s="87"/>
      <c r="K134" s="115">
        <f>-E150</f>
        <v>150000</v>
      </c>
      <c r="L134" s="107"/>
      <c r="M134" s="89">
        <f>-F150</f>
        <v>162500</v>
      </c>
      <c r="N134" s="107"/>
      <c r="O134" s="89">
        <f>-G150</f>
        <v>175000</v>
      </c>
      <c r="P134" s="107"/>
      <c r="R134" s="87" t="s">
        <v>79</v>
      </c>
    </row>
    <row r="135" spans="1:18" x14ac:dyDescent="0.25">
      <c r="A135" s="87"/>
      <c r="B135" s="111" t="s">
        <v>167</v>
      </c>
      <c r="C135" s="87"/>
      <c r="D135" s="87"/>
      <c r="E135" s="87"/>
      <c r="F135" s="87"/>
      <c r="G135" s="87"/>
      <c r="H135" s="87">
        <f t="shared" si="21"/>
        <v>0</v>
      </c>
      <c r="I135" s="87"/>
      <c r="J135" s="87"/>
      <c r="K135" s="115">
        <f>+L136-K134</f>
        <v>12500</v>
      </c>
      <c r="L135" s="107"/>
      <c r="M135" s="89">
        <f>+N136-M134</f>
        <v>12500</v>
      </c>
      <c r="N135" s="107"/>
      <c r="O135" s="89">
        <v>0</v>
      </c>
      <c r="P135" s="107"/>
      <c r="R135" s="87" t="s">
        <v>104</v>
      </c>
    </row>
    <row r="136" spans="1:18" x14ac:dyDescent="0.25">
      <c r="A136" s="87"/>
      <c r="B136" s="111" t="s">
        <v>99</v>
      </c>
      <c r="C136" s="87"/>
      <c r="D136" s="87"/>
      <c r="E136" s="87"/>
      <c r="F136" s="87"/>
      <c r="G136" s="87"/>
      <c r="H136" s="87">
        <f t="shared" si="21"/>
        <v>0</v>
      </c>
      <c r="I136" s="87"/>
      <c r="J136" s="87"/>
      <c r="K136" s="115"/>
      <c r="L136" s="107">
        <f>+N136-M135</f>
        <v>162500</v>
      </c>
      <c r="M136" s="89"/>
      <c r="N136" s="107">
        <f>+P136</f>
        <v>175000</v>
      </c>
      <c r="O136" s="89"/>
      <c r="P136" s="107">
        <f>+O134</f>
        <v>175000</v>
      </c>
      <c r="R136" s="87" t="s">
        <v>98</v>
      </c>
    </row>
    <row r="137" spans="1:18" s="213" customFormat="1" x14ac:dyDescent="0.25">
      <c r="A137" s="212"/>
      <c r="B137" s="85"/>
      <c r="C137" s="85"/>
      <c r="D137" s="85"/>
      <c r="E137" s="85"/>
      <c r="F137" s="85"/>
      <c r="G137" s="85"/>
      <c r="H137" s="85"/>
      <c r="I137" s="87"/>
      <c r="J137" s="85"/>
      <c r="K137" s="114"/>
      <c r="L137" s="108"/>
      <c r="M137" s="86"/>
      <c r="N137" s="108"/>
      <c r="O137" s="86"/>
      <c r="P137" s="108"/>
      <c r="Q137" s="46"/>
      <c r="R137" s="212"/>
    </row>
    <row r="138" spans="1:18" s="213" customFormat="1" x14ac:dyDescent="0.25">
      <c r="A138" s="212"/>
      <c r="B138" s="85"/>
      <c r="C138" s="219"/>
      <c r="D138" s="219"/>
      <c r="E138" s="220">
        <v>2025</v>
      </c>
      <c r="F138" s="220">
        <v>2024</v>
      </c>
      <c r="G138" s="220">
        <v>2023</v>
      </c>
      <c r="H138" s="85"/>
      <c r="I138" s="87"/>
      <c r="J138" s="85"/>
      <c r="K138" s="114"/>
      <c r="L138" s="108"/>
      <c r="M138" s="86"/>
      <c r="N138" s="108"/>
      <c r="O138" s="86"/>
      <c r="P138" s="108"/>
      <c r="Q138" s="46"/>
      <c r="R138" s="212"/>
    </row>
    <row r="139" spans="1:18" s="213" customFormat="1" x14ac:dyDescent="0.25">
      <c r="A139" s="212"/>
      <c r="B139" s="85"/>
      <c r="C139" s="219"/>
      <c r="D139" s="219"/>
      <c r="E139" s="220" t="s">
        <v>127</v>
      </c>
      <c r="F139" s="220" t="s">
        <v>127</v>
      </c>
      <c r="G139" s="220" t="s">
        <v>127</v>
      </c>
      <c r="H139" s="85"/>
      <c r="I139" s="87"/>
      <c r="J139" s="85"/>
      <c r="K139" s="114"/>
      <c r="L139" s="108"/>
      <c r="M139" s="86"/>
      <c r="N139" s="108"/>
      <c r="O139" s="86"/>
      <c r="P139" s="108"/>
      <c r="Q139" s="46"/>
      <c r="R139" s="212"/>
    </row>
    <row r="140" spans="1:18" s="213" customFormat="1" x14ac:dyDescent="0.25">
      <c r="A140" s="212"/>
      <c r="B140" s="85"/>
      <c r="C140" s="85" t="s">
        <v>135</v>
      </c>
      <c r="D140" s="87"/>
      <c r="E140" s="212"/>
      <c r="F140" s="212"/>
      <c r="G140" s="212"/>
      <c r="H140" s="85"/>
      <c r="I140" s="87"/>
      <c r="J140" s="85"/>
      <c r="K140" s="114"/>
      <c r="L140" s="108"/>
      <c r="M140" s="86"/>
      <c r="N140" s="108"/>
      <c r="O140" s="86"/>
      <c r="P140" s="108"/>
      <c r="Q140" s="46"/>
      <c r="R140" s="212"/>
    </row>
    <row r="141" spans="1:18" s="213" customFormat="1" x14ac:dyDescent="0.25">
      <c r="A141" s="212"/>
      <c r="B141" s="85"/>
      <c r="C141" s="87" t="s">
        <v>133</v>
      </c>
      <c r="D141" s="87"/>
      <c r="E141" s="218">
        <v>2000000</v>
      </c>
      <c r="F141" s="218">
        <v>2000000</v>
      </c>
      <c r="G141" s="218">
        <v>2000000</v>
      </c>
      <c r="H141" s="85"/>
      <c r="I141" s="87"/>
      <c r="J141" s="85"/>
      <c r="K141" s="114"/>
      <c r="L141" s="108"/>
      <c r="M141" s="86"/>
      <c r="N141" s="108"/>
      <c r="O141" s="86"/>
      <c r="P141" s="108"/>
      <c r="Q141" s="46"/>
      <c r="R141" s="212"/>
    </row>
    <row r="142" spans="1:18" s="213" customFormat="1" x14ac:dyDescent="0.25">
      <c r="A142" s="212"/>
      <c r="B142" s="85"/>
      <c r="C142" s="87" t="s">
        <v>134</v>
      </c>
      <c r="D142" s="87"/>
      <c r="E142" s="218">
        <f>E141*10%*5</f>
        <v>1000000</v>
      </c>
      <c r="F142" s="218">
        <f>F141*10%*4</f>
        <v>800000</v>
      </c>
      <c r="G142" s="218">
        <f>G141*10%*3</f>
        <v>600000</v>
      </c>
      <c r="H142" s="85"/>
      <c r="I142" s="87"/>
      <c r="J142" s="85"/>
      <c r="K142" s="114"/>
      <c r="L142" s="108"/>
      <c r="M142" s="86"/>
      <c r="N142" s="108"/>
      <c r="O142" s="86"/>
      <c r="P142" s="108"/>
      <c r="Q142" s="46"/>
      <c r="R142" s="212"/>
    </row>
    <row r="143" spans="1:18" s="213" customFormat="1" x14ac:dyDescent="0.25">
      <c r="A143" s="212"/>
      <c r="B143" s="85"/>
      <c r="C143" s="87"/>
      <c r="D143" s="87"/>
      <c r="E143" s="224">
        <f>+E141-E142</f>
        <v>1000000</v>
      </c>
      <c r="F143" s="224">
        <f t="shared" ref="F143" si="22">+F141-F142</f>
        <v>1200000</v>
      </c>
      <c r="G143" s="224">
        <f t="shared" ref="G143" si="23">+G141-G142</f>
        <v>1400000</v>
      </c>
      <c r="H143" s="85"/>
      <c r="I143" s="87"/>
      <c r="J143" s="85"/>
      <c r="K143" s="114"/>
      <c r="L143" s="108"/>
      <c r="M143" s="86"/>
      <c r="N143" s="108"/>
      <c r="O143" s="86"/>
      <c r="P143" s="108"/>
      <c r="Q143" s="46"/>
      <c r="R143" s="212"/>
    </row>
    <row r="144" spans="1:18" s="213" customFormat="1" x14ac:dyDescent="0.25">
      <c r="A144" s="212"/>
      <c r="B144" s="85"/>
      <c r="C144" s="85" t="s">
        <v>50</v>
      </c>
      <c r="D144" s="87"/>
      <c r="E144" s="212"/>
      <c r="F144" s="212"/>
      <c r="G144" s="212"/>
      <c r="H144" s="85"/>
      <c r="I144" s="87"/>
      <c r="J144" s="85"/>
      <c r="K144" s="114"/>
      <c r="L144" s="108"/>
      <c r="M144" s="86"/>
      <c r="N144" s="108"/>
      <c r="O144" s="86"/>
      <c r="P144" s="108"/>
      <c r="Q144" s="46"/>
      <c r="R144" s="212"/>
    </row>
    <row r="145" spans="1:18" s="213" customFormat="1" x14ac:dyDescent="0.25">
      <c r="A145" s="212"/>
      <c r="B145" s="85"/>
      <c r="C145" s="87" t="s">
        <v>133</v>
      </c>
      <c r="D145" s="87"/>
      <c r="E145" s="218">
        <f>+E141</f>
        <v>2000000</v>
      </c>
      <c r="F145" s="218">
        <f>+F141</f>
        <v>2000000</v>
      </c>
      <c r="G145" s="218">
        <f>+G141</f>
        <v>2000000</v>
      </c>
      <c r="H145" s="85"/>
      <c r="I145" s="87"/>
      <c r="J145" s="85"/>
      <c r="K145" s="114"/>
      <c r="L145" s="108"/>
      <c r="M145" s="86"/>
      <c r="N145" s="108"/>
      <c r="O145" s="86"/>
      <c r="P145" s="108"/>
      <c r="Q145" s="46"/>
      <c r="R145" s="212"/>
    </row>
    <row r="146" spans="1:18" s="213" customFormat="1" x14ac:dyDescent="0.25">
      <c r="A146" s="212"/>
      <c r="B146" s="85"/>
      <c r="C146" s="87" t="s">
        <v>147</v>
      </c>
      <c r="D146" s="87"/>
      <c r="E146" s="222">
        <f t="shared" ref="E146:F146" si="24">+E145*15%</f>
        <v>300000</v>
      </c>
      <c r="F146" s="222">
        <f t="shared" si="24"/>
        <v>300000</v>
      </c>
      <c r="G146" s="222">
        <f>+G145*15%</f>
        <v>300000</v>
      </c>
      <c r="H146" s="85"/>
      <c r="I146" s="87"/>
      <c r="J146" s="85"/>
      <c r="K146" s="114"/>
      <c r="L146" s="108"/>
      <c r="M146" s="86"/>
      <c r="N146" s="108"/>
      <c r="O146" s="86"/>
      <c r="P146" s="108"/>
      <c r="Q146" s="46"/>
      <c r="R146" s="212"/>
    </row>
    <row r="147" spans="1:18" s="213" customFormat="1" x14ac:dyDescent="0.25">
      <c r="A147" s="212"/>
      <c r="B147" s="85"/>
      <c r="C147" s="87" t="s">
        <v>148</v>
      </c>
      <c r="D147" s="87"/>
      <c r="E147" s="221">
        <f t="shared" ref="E147:F147" si="25">+E145-E146</f>
        <v>1700000</v>
      </c>
      <c r="F147" s="221">
        <f t="shared" si="25"/>
        <v>1700000</v>
      </c>
      <c r="G147" s="221">
        <f>+G145-G146</f>
        <v>1700000</v>
      </c>
      <c r="H147" s="85"/>
      <c r="I147" s="87"/>
      <c r="J147" s="85"/>
      <c r="K147" s="114"/>
      <c r="L147" s="108"/>
      <c r="M147" s="86"/>
      <c r="N147" s="108"/>
      <c r="O147" s="86"/>
      <c r="P147" s="108"/>
      <c r="Q147" s="46"/>
      <c r="R147" s="212"/>
    </row>
    <row r="148" spans="1:18" s="213" customFormat="1" x14ac:dyDescent="0.25">
      <c r="A148" s="212"/>
      <c r="B148" s="85"/>
      <c r="C148" s="87" t="s">
        <v>134</v>
      </c>
      <c r="D148" s="87"/>
      <c r="E148" s="218">
        <f>4*E147/8</f>
        <v>850000</v>
      </c>
      <c r="F148" s="218">
        <f>3*F147/8</f>
        <v>637500</v>
      </c>
      <c r="G148" s="218">
        <f>2*G147/8</f>
        <v>425000</v>
      </c>
      <c r="H148" s="85"/>
      <c r="I148" s="87"/>
      <c r="J148" s="85"/>
      <c r="K148" s="114"/>
      <c r="L148" s="108"/>
      <c r="M148" s="86"/>
      <c r="N148" s="108"/>
      <c r="O148" s="86"/>
      <c r="P148" s="108"/>
      <c r="Q148" s="46"/>
      <c r="R148" s="212"/>
    </row>
    <row r="149" spans="1:18" s="213" customFormat="1" x14ac:dyDescent="0.25">
      <c r="A149" s="212"/>
      <c r="B149" s="85"/>
      <c r="C149" s="87"/>
      <c r="D149" s="87"/>
      <c r="E149" s="224">
        <f>+E145-E148</f>
        <v>1150000</v>
      </c>
      <c r="F149" s="224">
        <f t="shared" ref="F149" si="26">+F145-F148</f>
        <v>1362500</v>
      </c>
      <c r="G149" s="224">
        <f t="shared" ref="G149" si="27">+G145-G148</f>
        <v>1575000</v>
      </c>
      <c r="H149" s="85"/>
      <c r="I149" s="87"/>
      <c r="J149" s="85"/>
      <c r="K149" s="114"/>
      <c r="L149" s="108"/>
      <c r="M149" s="86"/>
      <c r="N149" s="108"/>
      <c r="O149" s="86"/>
      <c r="P149" s="108"/>
      <c r="Q149" s="46"/>
      <c r="R149" s="212"/>
    </row>
    <row r="150" spans="1:18" s="213" customFormat="1" x14ac:dyDescent="0.25">
      <c r="A150" s="212"/>
      <c r="B150" s="85"/>
      <c r="C150" s="85" t="s">
        <v>136</v>
      </c>
      <c r="D150" s="87"/>
      <c r="E150" s="224">
        <f t="shared" ref="E150" si="28">+E143-E149</f>
        <v>-150000</v>
      </c>
      <c r="F150" s="224">
        <f t="shared" ref="F150" si="29">+F143-F149</f>
        <v>-162500</v>
      </c>
      <c r="G150" s="224">
        <f>+G143-G149</f>
        <v>-175000</v>
      </c>
      <c r="H150" s="85"/>
      <c r="I150" s="87"/>
      <c r="J150" s="85"/>
      <c r="K150" s="114"/>
      <c r="L150" s="108"/>
      <c r="M150" s="86"/>
      <c r="N150" s="108"/>
      <c r="O150" s="86"/>
      <c r="P150" s="108"/>
      <c r="Q150" s="46"/>
      <c r="R150" s="212"/>
    </row>
    <row r="151" spans="1:18" s="213" customFormat="1" x14ac:dyDescent="0.25">
      <c r="A151" s="212"/>
      <c r="B151" s="85"/>
      <c r="C151" s="85"/>
      <c r="D151" s="85"/>
      <c r="E151" s="85"/>
      <c r="F151" s="85"/>
      <c r="G151" s="85"/>
      <c r="H151" s="85"/>
      <c r="I151" s="87"/>
      <c r="J151" s="85"/>
      <c r="K151" s="114"/>
      <c r="L151" s="108"/>
      <c r="M151" s="86"/>
      <c r="N151" s="108"/>
      <c r="O151" s="86"/>
      <c r="P151" s="108"/>
      <c r="Q151" s="46"/>
      <c r="R151" s="212"/>
    </row>
    <row r="152" spans="1:18" s="213" customFormat="1" ht="20.25" x14ac:dyDescent="0.3">
      <c r="A152" s="212"/>
      <c r="B152" s="451" t="s">
        <v>389</v>
      </c>
      <c r="C152" s="452"/>
      <c r="D152" s="452"/>
      <c r="E152" s="452"/>
      <c r="F152" s="452"/>
      <c r="G152" s="452"/>
      <c r="H152" s="85"/>
      <c r="I152" s="87"/>
      <c r="J152" s="85"/>
      <c r="K152" s="114"/>
      <c r="L152" s="108"/>
      <c r="M152" s="86"/>
      <c r="N152" s="108"/>
      <c r="O152" s="86"/>
      <c r="P152" s="108"/>
      <c r="Q152" s="46"/>
      <c r="R152" s="212"/>
    </row>
    <row r="153" spans="1:18" ht="20.25" x14ac:dyDescent="0.3">
      <c r="A153" s="212"/>
      <c r="B153" s="451" t="s">
        <v>385</v>
      </c>
      <c r="C153" s="452"/>
      <c r="D153" s="451"/>
      <c r="E153" s="451"/>
      <c r="F153" s="451"/>
      <c r="G153" s="451"/>
      <c r="H153" s="85"/>
      <c r="I153" s="87"/>
      <c r="J153" s="87"/>
      <c r="K153" s="115"/>
      <c r="L153" s="107"/>
      <c r="M153" s="89"/>
      <c r="N153" s="107"/>
      <c r="O153" s="89"/>
      <c r="P153" s="107"/>
      <c r="R153" s="212"/>
    </row>
    <row r="154" spans="1:18" ht="20.25" x14ac:dyDescent="0.3">
      <c r="A154" s="85"/>
      <c r="B154" s="451" t="s">
        <v>386</v>
      </c>
      <c r="C154" s="452"/>
      <c r="D154" s="451"/>
      <c r="E154" s="451"/>
      <c r="F154" s="451"/>
      <c r="G154" s="451"/>
      <c r="H154" s="85"/>
      <c r="I154" s="87"/>
      <c r="J154" s="87"/>
      <c r="K154" s="115"/>
      <c r="L154" s="107"/>
      <c r="M154" s="89"/>
      <c r="N154" s="107"/>
      <c r="O154" s="89"/>
      <c r="P154" s="107"/>
      <c r="R154" s="85"/>
    </row>
    <row r="155" spans="1:18" x14ac:dyDescent="0.25">
      <c r="A155" s="87"/>
      <c r="B155" s="111" t="s">
        <v>137</v>
      </c>
      <c r="C155" s="87"/>
      <c r="D155" s="87"/>
      <c r="E155" s="87"/>
      <c r="F155" s="87"/>
      <c r="G155" s="87"/>
      <c r="H155" s="87">
        <f t="shared" ref="H155:H157" si="30">IF(A155=0,0,1)</f>
        <v>0</v>
      </c>
      <c r="I155" s="87"/>
      <c r="J155" s="87"/>
      <c r="K155" s="115">
        <f>-E171</f>
        <v>7140000</v>
      </c>
      <c r="L155" s="107"/>
      <c r="M155" s="89">
        <f>-F171</f>
        <v>4972500</v>
      </c>
      <c r="N155" s="107"/>
      <c r="O155" s="89">
        <f>-G171</f>
        <v>3060000</v>
      </c>
      <c r="P155" s="107"/>
      <c r="R155" s="87" t="s">
        <v>79</v>
      </c>
    </row>
    <row r="156" spans="1:18" x14ac:dyDescent="0.25">
      <c r="A156" s="87"/>
      <c r="B156" s="111" t="s">
        <v>99</v>
      </c>
      <c r="C156" s="87"/>
      <c r="D156" s="87"/>
      <c r="E156" s="87"/>
      <c r="F156" s="87"/>
      <c r="G156" s="87"/>
      <c r="H156" s="87">
        <f t="shared" si="30"/>
        <v>0</v>
      </c>
      <c r="I156" s="87"/>
      <c r="J156" s="87"/>
      <c r="K156" s="115"/>
      <c r="L156" s="107">
        <f>+N156+N157</f>
        <v>4972500</v>
      </c>
      <c r="M156" s="89"/>
      <c r="N156" s="107">
        <f>+P156</f>
        <v>3060000</v>
      </c>
      <c r="O156" s="89"/>
      <c r="P156" s="107">
        <f>+O155</f>
        <v>3060000</v>
      </c>
      <c r="R156" s="87" t="s">
        <v>98</v>
      </c>
    </row>
    <row r="157" spans="1:18" x14ac:dyDescent="0.25">
      <c r="A157" s="87"/>
      <c r="B157" s="111" t="s">
        <v>167</v>
      </c>
      <c r="C157" s="87"/>
      <c r="D157" s="87"/>
      <c r="E157" s="87"/>
      <c r="F157" s="87"/>
      <c r="G157" s="87"/>
      <c r="H157" s="87">
        <f t="shared" si="30"/>
        <v>0</v>
      </c>
      <c r="I157" s="87"/>
      <c r="J157" s="87"/>
      <c r="K157" s="115"/>
      <c r="L157" s="107">
        <f>+K155-L156</f>
        <v>2167500</v>
      </c>
      <c r="M157" s="89"/>
      <c r="N157" s="107">
        <f>+M155-N156</f>
        <v>1912500</v>
      </c>
      <c r="O157" s="89"/>
      <c r="P157" s="107"/>
      <c r="R157" s="87" t="s">
        <v>104</v>
      </c>
    </row>
    <row r="158" spans="1:18" x14ac:dyDescent="0.25">
      <c r="A158" s="87"/>
      <c r="B158" s="111"/>
      <c r="C158" s="87"/>
      <c r="D158" s="87"/>
      <c r="E158" s="87"/>
      <c r="F158" s="87"/>
      <c r="G158" s="87"/>
      <c r="H158" s="87"/>
      <c r="I158" s="87"/>
      <c r="J158" s="87"/>
      <c r="K158" s="115"/>
      <c r="L158" s="107"/>
      <c r="M158" s="89"/>
      <c r="N158" s="107"/>
      <c r="O158" s="89"/>
      <c r="P158" s="107"/>
      <c r="R158" s="87"/>
    </row>
    <row r="159" spans="1:18" s="213" customFormat="1" x14ac:dyDescent="0.25">
      <c r="A159" s="212"/>
      <c r="B159" s="219"/>
      <c r="C159" s="219"/>
      <c r="D159" s="219"/>
      <c r="E159" s="220">
        <v>2025</v>
      </c>
      <c r="F159" s="220">
        <v>2024</v>
      </c>
      <c r="G159" s="220">
        <v>2023</v>
      </c>
      <c r="H159" s="87"/>
      <c r="I159" s="87"/>
      <c r="J159" s="85"/>
      <c r="K159" s="114"/>
      <c r="L159" s="108"/>
      <c r="M159" s="86"/>
      <c r="N159" s="108"/>
      <c r="O159" s="86"/>
      <c r="P159" s="108"/>
      <c r="Q159" s="46"/>
      <c r="R159" s="212"/>
    </row>
    <row r="160" spans="1:18" s="213" customFormat="1" x14ac:dyDescent="0.25">
      <c r="A160" s="212"/>
      <c r="B160" s="219"/>
      <c r="C160" s="219"/>
      <c r="D160" s="219"/>
      <c r="E160" s="220" t="s">
        <v>127</v>
      </c>
      <c r="F160" s="220" t="s">
        <v>127</v>
      </c>
      <c r="G160" s="220" t="s">
        <v>127</v>
      </c>
      <c r="H160" s="87"/>
      <c r="I160" s="87"/>
      <c r="J160" s="85"/>
      <c r="K160" s="114"/>
      <c r="L160" s="108"/>
      <c r="M160" s="86"/>
      <c r="N160" s="108"/>
      <c r="O160" s="86"/>
      <c r="P160" s="108"/>
      <c r="Q160" s="46"/>
      <c r="R160" s="212"/>
    </row>
    <row r="161" spans="1:18" s="213" customFormat="1" x14ac:dyDescent="0.25">
      <c r="A161" s="212"/>
      <c r="B161" s="85" t="s">
        <v>135</v>
      </c>
      <c r="C161" s="87"/>
      <c r="D161" s="87"/>
      <c r="E161" s="212"/>
      <c r="F161" s="212"/>
      <c r="G161" s="212"/>
      <c r="H161" s="87"/>
      <c r="I161" s="87"/>
      <c r="J161" s="85"/>
      <c r="K161" s="114"/>
      <c r="L161" s="108"/>
      <c r="M161" s="86"/>
      <c r="N161" s="108"/>
      <c r="O161" s="86"/>
      <c r="P161" s="108"/>
      <c r="Q161" s="46"/>
      <c r="R161" s="212"/>
    </row>
    <row r="162" spans="1:18" s="213" customFormat="1" x14ac:dyDescent="0.25">
      <c r="A162" s="212"/>
      <c r="B162" s="87" t="s">
        <v>133</v>
      </c>
      <c r="C162" s="87"/>
      <c r="D162" s="87"/>
      <c r="E162" s="218">
        <v>10200000</v>
      </c>
      <c r="F162" s="218">
        <v>10200000</v>
      </c>
      <c r="G162" s="218">
        <v>10200000</v>
      </c>
      <c r="H162" s="87"/>
      <c r="I162" s="87"/>
      <c r="J162" s="85"/>
      <c r="K162" s="114"/>
      <c r="L162" s="108"/>
      <c r="M162" s="86"/>
      <c r="N162" s="108"/>
      <c r="O162" s="86"/>
      <c r="P162" s="108"/>
      <c r="Q162" s="46"/>
      <c r="R162" s="212"/>
    </row>
    <row r="163" spans="1:18" s="213" customFormat="1" x14ac:dyDescent="0.25">
      <c r="A163" s="212"/>
      <c r="B163" s="87" t="s">
        <v>134</v>
      </c>
      <c r="C163" s="87"/>
      <c r="D163" s="87"/>
      <c r="E163" s="218">
        <f>E162*25%*4</f>
        <v>10200000</v>
      </c>
      <c r="F163" s="218">
        <f>F162*25%*3</f>
        <v>7650000</v>
      </c>
      <c r="G163" s="218">
        <f>G162*25%*2</f>
        <v>5100000</v>
      </c>
      <c r="H163" s="87"/>
      <c r="I163" s="87"/>
      <c r="J163" s="85"/>
      <c r="K163" s="114"/>
      <c r="L163" s="108"/>
      <c r="M163" s="86"/>
      <c r="N163" s="108"/>
      <c r="O163" s="86"/>
      <c r="P163" s="108"/>
      <c r="Q163" s="46"/>
      <c r="R163" s="212"/>
    </row>
    <row r="164" spans="1:18" s="213" customFormat="1" x14ac:dyDescent="0.25">
      <c r="A164" s="212"/>
      <c r="B164" s="87"/>
      <c r="C164" s="87"/>
      <c r="D164" s="87"/>
      <c r="E164" s="224">
        <f>+E162-E163</f>
        <v>0</v>
      </c>
      <c r="F164" s="224">
        <f t="shared" ref="F164:G164" si="31">+F162-F163</f>
        <v>2550000</v>
      </c>
      <c r="G164" s="224">
        <f t="shared" si="31"/>
        <v>5100000</v>
      </c>
      <c r="H164" s="87"/>
      <c r="I164" s="87"/>
      <c r="J164" s="85"/>
      <c r="K164" s="114"/>
      <c r="L164" s="108"/>
      <c r="M164" s="86"/>
      <c r="N164" s="108"/>
      <c r="O164" s="86"/>
      <c r="P164" s="108"/>
      <c r="Q164" s="46"/>
      <c r="R164" s="212"/>
    </row>
    <row r="165" spans="1:18" s="213" customFormat="1" x14ac:dyDescent="0.25">
      <c r="A165" s="212"/>
      <c r="B165" s="85" t="s">
        <v>50</v>
      </c>
      <c r="C165" s="87"/>
      <c r="D165" s="87"/>
      <c r="E165" s="212"/>
      <c r="F165" s="212"/>
      <c r="G165" s="212"/>
      <c r="H165" s="87"/>
      <c r="I165" s="87"/>
      <c r="J165" s="85"/>
      <c r="K165" s="114"/>
      <c r="L165" s="108"/>
      <c r="M165" s="86"/>
      <c r="N165" s="108"/>
      <c r="O165" s="86"/>
      <c r="P165" s="108"/>
      <c r="Q165" s="46"/>
      <c r="R165" s="212"/>
    </row>
    <row r="166" spans="1:18" s="213" customFormat="1" x14ac:dyDescent="0.25">
      <c r="A166" s="212"/>
      <c r="B166" s="87" t="s">
        <v>133</v>
      </c>
      <c r="C166" s="87"/>
      <c r="D166" s="87"/>
      <c r="E166" s="218">
        <v>10200000</v>
      </c>
      <c r="F166" s="218">
        <v>10200000</v>
      </c>
      <c r="G166" s="218">
        <v>10200000</v>
      </c>
      <c r="H166" s="87"/>
      <c r="I166" s="87"/>
      <c r="J166" s="85"/>
      <c r="K166" s="114"/>
      <c r="L166" s="108"/>
      <c r="M166" s="86"/>
      <c r="N166" s="108"/>
      <c r="O166" s="86"/>
      <c r="P166" s="108"/>
      <c r="Q166" s="46"/>
      <c r="R166" s="212"/>
    </row>
    <row r="167" spans="1:18" s="213" customFormat="1" x14ac:dyDescent="0.25">
      <c r="A167" s="212"/>
      <c r="B167" s="87" t="s">
        <v>147</v>
      </c>
      <c r="C167" s="87"/>
      <c r="D167" s="87"/>
      <c r="E167" s="222">
        <f>+E166*10%*4</f>
        <v>4080000</v>
      </c>
      <c r="F167" s="222">
        <f>+F166*10%*3</f>
        <v>3060000</v>
      </c>
      <c r="G167" s="222">
        <f>+G166*10%*2</f>
        <v>2040000</v>
      </c>
      <c r="H167" s="87"/>
      <c r="I167" s="87"/>
      <c r="J167" s="85"/>
      <c r="K167" s="114"/>
      <c r="L167" s="108"/>
      <c r="M167" s="86"/>
      <c r="N167" s="108"/>
      <c r="O167" s="86"/>
      <c r="P167" s="108"/>
      <c r="Q167" s="46"/>
      <c r="R167" s="212"/>
    </row>
    <row r="168" spans="1:18" s="213" customFormat="1" x14ac:dyDescent="0.25">
      <c r="A168" s="212"/>
      <c r="B168" s="87" t="s">
        <v>148</v>
      </c>
      <c r="C168" s="87"/>
      <c r="D168" s="87"/>
      <c r="E168" s="218">
        <f t="shared" ref="E168:F168" si="32">+E166-E167</f>
        <v>6120000</v>
      </c>
      <c r="F168" s="218">
        <f t="shared" si="32"/>
        <v>7140000</v>
      </c>
      <c r="G168" s="218">
        <f>+G166-G167</f>
        <v>8160000</v>
      </c>
      <c r="H168" s="87"/>
      <c r="I168" s="87"/>
      <c r="J168" s="85"/>
      <c r="K168" s="114"/>
      <c r="L168" s="108"/>
      <c r="M168" s="86"/>
      <c r="N168" s="108"/>
      <c r="O168" s="86"/>
      <c r="P168" s="108"/>
      <c r="Q168" s="46"/>
      <c r="R168" s="212"/>
    </row>
    <row r="169" spans="1:18" s="213" customFormat="1" x14ac:dyDescent="0.25">
      <c r="A169" s="212"/>
      <c r="B169" s="87" t="s">
        <v>134</v>
      </c>
      <c r="C169" s="87"/>
      <c r="D169" s="87"/>
      <c r="E169" s="218">
        <f>4*E168/8</f>
        <v>3060000</v>
      </c>
      <c r="F169" s="218">
        <f>3*F168/8</f>
        <v>2677500</v>
      </c>
      <c r="G169" s="218">
        <f>2*G168/8</f>
        <v>2040000</v>
      </c>
      <c r="H169" s="87"/>
      <c r="I169" s="87"/>
      <c r="J169" s="85"/>
      <c r="K169" s="114"/>
      <c r="L169" s="108"/>
      <c r="M169" s="86"/>
      <c r="N169" s="108"/>
      <c r="O169" s="86"/>
      <c r="P169" s="108"/>
      <c r="Q169" s="46"/>
      <c r="R169" s="212"/>
    </row>
    <row r="170" spans="1:18" s="213" customFormat="1" x14ac:dyDescent="0.25">
      <c r="A170" s="212"/>
      <c r="B170" s="87"/>
      <c r="C170" s="87"/>
      <c r="D170" s="87"/>
      <c r="E170" s="224">
        <f>+E166-E169</f>
        <v>7140000</v>
      </c>
      <c r="F170" s="224">
        <f t="shared" ref="F170:G170" si="33">+F166-F169</f>
        <v>7522500</v>
      </c>
      <c r="G170" s="224">
        <f t="shared" si="33"/>
        <v>8160000</v>
      </c>
      <c r="H170" s="87"/>
      <c r="I170" s="87"/>
      <c r="J170" s="85"/>
      <c r="K170" s="114"/>
      <c r="L170" s="108"/>
      <c r="M170" s="86"/>
      <c r="N170" s="108"/>
      <c r="O170" s="86"/>
      <c r="P170" s="108"/>
      <c r="Q170" s="46"/>
      <c r="R170" s="212"/>
    </row>
    <row r="171" spans="1:18" s="213" customFormat="1" x14ac:dyDescent="0.25">
      <c r="A171" s="212"/>
      <c r="B171" s="85" t="s">
        <v>136</v>
      </c>
      <c r="C171" s="87"/>
      <c r="D171" s="87"/>
      <c r="E171" s="224">
        <f t="shared" ref="E171:F171" si="34">+E164-E170</f>
        <v>-7140000</v>
      </c>
      <c r="F171" s="224">
        <f t="shared" si="34"/>
        <v>-4972500</v>
      </c>
      <c r="G171" s="224">
        <f>+G164-G170</f>
        <v>-3060000</v>
      </c>
      <c r="H171" s="87"/>
      <c r="I171" s="87"/>
      <c r="J171" s="85"/>
      <c r="K171" s="114"/>
      <c r="L171" s="108"/>
      <c r="M171" s="86"/>
      <c r="N171" s="108"/>
      <c r="O171" s="86"/>
      <c r="P171" s="108"/>
      <c r="Q171" s="46"/>
      <c r="R171" s="212"/>
    </row>
    <row r="172" spans="1:18" s="213" customFormat="1" x14ac:dyDescent="0.25">
      <c r="A172" s="212"/>
      <c r="B172" s="85"/>
      <c r="C172" s="87"/>
      <c r="D172" s="87"/>
      <c r="E172" s="87"/>
      <c r="F172" s="221"/>
      <c r="G172" s="221"/>
      <c r="H172" s="87"/>
      <c r="I172" s="87"/>
      <c r="J172" s="85"/>
      <c r="K172" s="114"/>
      <c r="L172" s="108"/>
      <c r="M172" s="86"/>
      <c r="N172" s="108"/>
      <c r="O172" s="86"/>
      <c r="P172" s="108"/>
      <c r="Q172" s="46"/>
      <c r="R172" s="212"/>
    </row>
    <row r="173" spans="1:18" s="213" customFormat="1" x14ac:dyDescent="0.25">
      <c r="A173" s="212"/>
      <c r="B173" s="85"/>
      <c r="C173" s="87"/>
      <c r="D173" s="87"/>
      <c r="E173" s="87"/>
      <c r="F173" s="221"/>
      <c r="G173" s="221"/>
      <c r="H173" s="87"/>
      <c r="I173" s="87"/>
      <c r="J173" s="85"/>
      <c r="K173" s="114"/>
      <c r="L173" s="108"/>
      <c r="M173" s="86"/>
      <c r="N173" s="108"/>
      <c r="O173" s="86"/>
      <c r="P173" s="108"/>
      <c r="Q173" s="46"/>
      <c r="R173" s="212"/>
    </row>
    <row r="174" spans="1:18" s="213" customFormat="1" x14ac:dyDescent="0.25">
      <c r="A174" s="212"/>
      <c r="B174" s="85" t="s">
        <v>389</v>
      </c>
      <c r="C174" s="87"/>
      <c r="D174" s="87"/>
      <c r="E174" s="87"/>
      <c r="F174" s="221"/>
      <c r="G174" s="221"/>
      <c r="H174" s="87"/>
      <c r="I174" s="87"/>
      <c r="J174" s="85"/>
      <c r="K174" s="114"/>
      <c r="L174" s="108"/>
      <c r="M174" s="86"/>
      <c r="N174" s="108"/>
      <c r="O174" s="86"/>
      <c r="P174" s="108"/>
      <c r="Q174" s="46"/>
      <c r="R174" s="212"/>
    </row>
    <row r="175" spans="1:18" s="213" customFormat="1" x14ac:dyDescent="0.25">
      <c r="A175" s="212"/>
      <c r="B175" s="85" t="s">
        <v>387</v>
      </c>
      <c r="C175" s="87"/>
      <c r="D175" s="85"/>
      <c r="E175" s="85"/>
      <c r="F175" s="85"/>
      <c r="G175" s="85"/>
      <c r="H175" s="85"/>
      <c r="I175" s="85"/>
      <c r="J175" s="85"/>
      <c r="K175" s="114"/>
      <c r="L175" s="108"/>
      <c r="M175" s="86"/>
      <c r="N175" s="108"/>
      <c r="O175" s="86"/>
      <c r="P175" s="108"/>
      <c r="Q175" s="46"/>
      <c r="R175" s="212"/>
    </row>
    <row r="176" spans="1:18" s="213" customFormat="1" x14ac:dyDescent="0.25">
      <c r="A176" s="85"/>
      <c r="B176" s="85" t="s">
        <v>388</v>
      </c>
      <c r="C176" s="87"/>
      <c r="D176" s="85"/>
      <c r="E176" s="85"/>
      <c r="F176" s="85"/>
      <c r="G176" s="85"/>
      <c r="H176" s="85"/>
      <c r="I176" s="85"/>
      <c r="J176" s="85"/>
      <c r="K176" s="114"/>
      <c r="L176" s="108"/>
      <c r="M176" s="86"/>
      <c r="N176" s="108"/>
      <c r="O176" s="86"/>
      <c r="P176" s="108"/>
      <c r="Q176" s="46"/>
      <c r="R176" s="85"/>
    </row>
    <row r="177" spans="1:18" x14ac:dyDescent="0.25">
      <c r="A177" s="87"/>
      <c r="B177" s="226" t="s">
        <v>335</v>
      </c>
      <c r="C177" s="87"/>
      <c r="D177" s="87"/>
      <c r="E177" s="87"/>
      <c r="F177" s="87"/>
      <c r="G177" s="87"/>
      <c r="H177" s="87">
        <f t="shared" ref="H177:H178" si="35">IF(A177=0,0,1)</f>
        <v>0</v>
      </c>
      <c r="I177" s="85"/>
      <c r="J177" s="85"/>
      <c r="K177" s="115">
        <f>+E192</f>
        <v>100000</v>
      </c>
      <c r="L177" s="107"/>
      <c r="M177" s="89">
        <f>+F192</f>
        <v>100000</v>
      </c>
      <c r="N177" s="107"/>
      <c r="O177" s="89">
        <f>+G192</f>
        <v>100000</v>
      </c>
      <c r="P177" s="107"/>
      <c r="R177" s="87" t="s">
        <v>66</v>
      </c>
    </row>
    <row r="178" spans="1:18" x14ac:dyDescent="0.25">
      <c r="A178" s="87"/>
      <c r="B178" s="111" t="s">
        <v>99</v>
      </c>
      <c r="D178" s="87"/>
      <c r="E178" s="87"/>
      <c r="F178" s="87"/>
      <c r="G178" s="87"/>
      <c r="H178" s="87">
        <f t="shared" si="35"/>
        <v>0</v>
      </c>
      <c r="I178" s="85"/>
      <c r="J178" s="85"/>
      <c r="K178" s="115"/>
      <c r="L178" s="107">
        <f>+K177</f>
        <v>100000</v>
      </c>
      <c r="M178" s="89"/>
      <c r="N178" s="107">
        <f>+M177</f>
        <v>100000</v>
      </c>
      <c r="O178" s="89"/>
      <c r="P178" s="107">
        <f>+O177</f>
        <v>100000</v>
      </c>
      <c r="R178" s="87" t="s">
        <v>98</v>
      </c>
    </row>
    <row r="179" spans="1:18" x14ac:dyDescent="0.25">
      <c r="A179" s="87"/>
      <c r="B179" s="111"/>
      <c r="D179" s="87"/>
      <c r="E179" s="87"/>
      <c r="F179" s="87"/>
      <c r="G179" s="87"/>
      <c r="H179" s="87"/>
      <c r="I179" s="85"/>
      <c r="J179" s="85"/>
      <c r="K179" s="115"/>
      <c r="L179" s="107"/>
      <c r="M179" s="89"/>
      <c r="N179" s="107"/>
      <c r="O179" s="89"/>
      <c r="P179" s="107"/>
      <c r="R179" s="87"/>
    </row>
    <row r="180" spans="1:18" s="213" customFormat="1" x14ac:dyDescent="0.25">
      <c r="A180" s="212"/>
      <c r="B180" s="229" t="s">
        <v>153</v>
      </c>
      <c r="C180" s="229"/>
      <c r="D180" s="230">
        <v>45078</v>
      </c>
      <c r="E180" s="220">
        <v>2025</v>
      </c>
      <c r="F180" s="220">
        <v>2024</v>
      </c>
      <c r="G180" s="220">
        <v>2023</v>
      </c>
      <c r="H180" s="87"/>
      <c r="I180" s="85"/>
      <c r="J180" s="85"/>
      <c r="K180" s="114"/>
      <c r="L180" s="108"/>
      <c r="M180" s="86"/>
      <c r="N180" s="108"/>
      <c r="O180" s="86"/>
      <c r="P180" s="108"/>
      <c r="Q180" s="46"/>
      <c r="R180" s="212"/>
    </row>
    <row r="181" spans="1:18" s="213" customFormat="1" x14ac:dyDescent="0.25">
      <c r="A181" s="212"/>
      <c r="B181" s="229" t="s">
        <v>154</v>
      </c>
      <c r="C181" s="229"/>
      <c r="D181" s="230">
        <f>+D180+360*3</f>
        <v>46158</v>
      </c>
      <c r="E181" s="220" t="s">
        <v>127</v>
      </c>
      <c r="F181" s="220" t="s">
        <v>127</v>
      </c>
      <c r="G181" s="220" t="s">
        <v>127</v>
      </c>
      <c r="H181" s="87"/>
      <c r="I181" s="85"/>
      <c r="J181" s="85"/>
      <c r="K181" s="114" t="s">
        <v>334</v>
      </c>
      <c r="L181" s="108" t="s">
        <v>334</v>
      </c>
      <c r="M181" s="86"/>
      <c r="N181" s="108"/>
      <c r="O181" s="86"/>
      <c r="P181" s="108"/>
      <c r="Q181" s="46"/>
      <c r="R181" s="212"/>
    </row>
    <row r="182" spans="1:18" s="213" customFormat="1" x14ac:dyDescent="0.25">
      <c r="A182" s="212"/>
      <c r="B182" s="87" t="s">
        <v>151</v>
      </c>
      <c r="C182" s="87"/>
      <c r="D182" s="87"/>
      <c r="E182" s="218">
        <v>3600000</v>
      </c>
      <c r="F182" s="218">
        <v>3600000</v>
      </c>
      <c r="G182" s="218">
        <v>3600000</v>
      </c>
      <c r="H182" s="87"/>
      <c r="I182" s="85"/>
      <c r="J182" s="85"/>
      <c r="K182" s="114"/>
      <c r="L182" s="108"/>
      <c r="M182" s="86"/>
      <c r="N182" s="108"/>
      <c r="O182" s="86"/>
      <c r="P182" s="108"/>
      <c r="Q182" s="46"/>
      <c r="R182" s="212"/>
    </row>
    <row r="183" spans="1:18" s="213" customFormat="1" x14ac:dyDescent="0.25">
      <c r="A183" s="212"/>
      <c r="B183" s="87" t="s">
        <v>152</v>
      </c>
      <c r="C183" s="87"/>
      <c r="D183" s="87"/>
      <c r="E183" s="218">
        <f>31*(E182/36)</f>
        <v>3100000</v>
      </c>
      <c r="F183" s="218">
        <f>19*(F182/36)</f>
        <v>1900000</v>
      </c>
      <c r="G183" s="218">
        <f>7*(G182/36)</f>
        <v>700000</v>
      </c>
      <c r="H183" s="87"/>
      <c r="I183" s="85"/>
      <c r="J183" s="85"/>
      <c r="K183" s="114"/>
      <c r="L183" s="108"/>
      <c r="M183" s="86"/>
      <c r="N183" s="108"/>
      <c r="O183" s="86"/>
      <c r="P183" s="108"/>
      <c r="Q183" s="46"/>
      <c r="R183" s="212"/>
    </row>
    <row r="184" spans="1:18" s="213" customFormat="1" x14ac:dyDescent="0.25">
      <c r="A184" s="212"/>
      <c r="B184" s="87"/>
      <c r="C184" s="87"/>
      <c r="D184" s="87"/>
      <c r="E184" s="224">
        <f>+E182-E183</f>
        <v>500000</v>
      </c>
      <c r="F184" s="224">
        <f t="shared" ref="F184:G184" si="36">+F182-F183</f>
        <v>1700000</v>
      </c>
      <c r="G184" s="224">
        <f t="shared" si="36"/>
        <v>2900000</v>
      </c>
      <c r="H184" s="87"/>
      <c r="I184" s="85"/>
      <c r="J184" s="85"/>
      <c r="K184" s="114"/>
      <c r="L184" s="108"/>
      <c r="M184" s="86"/>
      <c r="N184" s="108"/>
      <c r="O184" s="86"/>
      <c r="P184" s="108"/>
      <c r="Q184" s="46"/>
      <c r="R184" s="212"/>
    </row>
    <row r="185" spans="1:18" s="213" customFormat="1" x14ac:dyDescent="0.25">
      <c r="A185" s="212"/>
      <c r="B185" s="231" t="s">
        <v>153</v>
      </c>
      <c r="C185" s="231"/>
      <c r="D185" s="232">
        <f>+E186+1</f>
        <v>46023</v>
      </c>
      <c r="E185" s="232">
        <f>+F186+1</f>
        <v>45658</v>
      </c>
      <c r="F185" s="232">
        <f>+G186+1</f>
        <v>45292</v>
      </c>
      <c r="G185" s="232">
        <v>45078</v>
      </c>
      <c r="H185" s="87"/>
      <c r="I185" s="85"/>
      <c r="J185" s="85"/>
      <c r="K185" s="114"/>
      <c r="L185" s="108"/>
      <c r="M185" s="86"/>
      <c r="N185" s="108"/>
      <c r="O185" s="86"/>
      <c r="P185" s="108"/>
      <c r="Q185" s="46"/>
      <c r="R185" s="212"/>
    </row>
    <row r="186" spans="1:18" s="213" customFormat="1" x14ac:dyDescent="0.25">
      <c r="A186" s="212"/>
      <c r="B186" s="231" t="s">
        <v>154</v>
      </c>
      <c r="C186" s="231"/>
      <c r="D186" s="232">
        <f>+D181</f>
        <v>46158</v>
      </c>
      <c r="E186" s="232">
        <v>46022</v>
      </c>
      <c r="F186" s="232">
        <v>45657</v>
      </c>
      <c r="G186" s="232">
        <v>45291</v>
      </c>
      <c r="H186" s="87"/>
      <c r="I186" s="85"/>
      <c r="J186" s="85"/>
      <c r="K186" s="114"/>
      <c r="L186" s="108"/>
      <c r="M186" s="86"/>
      <c r="N186" s="108"/>
      <c r="O186" s="86"/>
      <c r="P186" s="108"/>
      <c r="Q186" s="46"/>
      <c r="R186" s="212"/>
    </row>
    <row r="187" spans="1:18" s="213" customFormat="1" x14ac:dyDescent="0.25">
      <c r="A187" s="212"/>
      <c r="B187" s="233" t="s">
        <v>366</v>
      </c>
      <c r="C187" s="233"/>
      <c r="D187" s="234">
        <v>2</v>
      </c>
      <c r="E187" s="234">
        <v>4</v>
      </c>
      <c r="F187" s="234">
        <v>4</v>
      </c>
      <c r="G187" s="234">
        <v>2</v>
      </c>
      <c r="H187" s="87"/>
      <c r="I187" s="85"/>
      <c r="J187" s="85"/>
      <c r="K187" s="114"/>
      <c r="L187" s="108"/>
      <c r="M187" s="86"/>
      <c r="N187" s="108"/>
      <c r="O187" s="86"/>
      <c r="P187" s="108"/>
      <c r="Q187" s="46"/>
      <c r="R187" s="212"/>
    </row>
    <row r="188" spans="1:18" s="213" customFormat="1" x14ac:dyDescent="0.25">
      <c r="A188" s="212"/>
      <c r="B188" s="85" t="s">
        <v>50</v>
      </c>
      <c r="C188" s="85"/>
      <c r="D188" s="85"/>
      <c r="E188" s="212"/>
      <c r="F188" s="212"/>
      <c r="G188" s="212">
        <f>+D187+E187+F187+G187</f>
        <v>12</v>
      </c>
      <c r="H188" s="87"/>
      <c r="I188" s="85"/>
      <c r="J188" s="85"/>
      <c r="K188" s="114"/>
      <c r="L188" s="108"/>
      <c r="M188" s="86"/>
      <c r="N188" s="108"/>
      <c r="O188" s="86"/>
      <c r="P188" s="108"/>
      <c r="Q188" s="46"/>
      <c r="R188" s="212"/>
    </row>
    <row r="189" spans="1:18" s="213" customFormat="1" x14ac:dyDescent="0.25">
      <c r="A189" s="212"/>
      <c r="B189" s="87" t="s">
        <v>151</v>
      </c>
      <c r="C189" s="87"/>
      <c r="D189" s="87"/>
      <c r="E189" s="218">
        <v>3600000</v>
      </c>
      <c r="F189" s="218">
        <v>3600000</v>
      </c>
      <c r="G189" s="218">
        <v>3600000</v>
      </c>
      <c r="H189" s="87"/>
      <c r="I189" s="85"/>
      <c r="J189" s="85"/>
      <c r="K189" s="114"/>
      <c r="L189" s="108"/>
      <c r="M189" s="86"/>
      <c r="N189" s="108"/>
      <c r="O189" s="86"/>
      <c r="P189" s="108"/>
      <c r="Q189" s="46"/>
      <c r="R189" s="212"/>
    </row>
    <row r="190" spans="1:18" s="213" customFormat="1" x14ac:dyDescent="0.25">
      <c r="A190" s="212"/>
      <c r="B190" s="87" t="s">
        <v>152</v>
      </c>
      <c r="C190" s="87"/>
      <c r="D190" s="87"/>
      <c r="E190" s="222">
        <f>(10/12)*E189</f>
        <v>3000000</v>
      </c>
      <c r="F190" s="222">
        <f>(6/12)*F189</f>
        <v>1800000</v>
      </c>
      <c r="G190" s="222">
        <f>(2/12)*G189</f>
        <v>600000</v>
      </c>
      <c r="H190" s="87"/>
      <c r="I190" s="85"/>
      <c r="J190" s="85"/>
      <c r="K190" s="114"/>
      <c r="L190" s="108"/>
      <c r="M190" s="86"/>
      <c r="N190" s="108"/>
      <c r="O190" s="86"/>
      <c r="P190" s="108"/>
      <c r="Q190" s="46"/>
      <c r="R190" s="212"/>
    </row>
    <row r="191" spans="1:18" s="213" customFormat="1" x14ac:dyDescent="0.25">
      <c r="A191" s="212"/>
      <c r="B191" s="85" t="s">
        <v>155</v>
      </c>
      <c r="C191" s="85"/>
      <c r="D191" s="85"/>
      <c r="E191" s="224">
        <f t="shared" ref="E191:F191" si="37">+E189-E190</f>
        <v>600000</v>
      </c>
      <c r="F191" s="224">
        <f t="shared" si="37"/>
        <v>1800000</v>
      </c>
      <c r="G191" s="224">
        <f>+G189-G190</f>
        <v>3000000</v>
      </c>
      <c r="H191" s="87"/>
      <c r="I191" s="85"/>
      <c r="J191" s="85"/>
      <c r="K191" s="114"/>
      <c r="L191" s="108"/>
      <c r="M191" s="86"/>
      <c r="N191" s="108"/>
      <c r="O191" s="86"/>
      <c r="P191" s="108"/>
      <c r="Q191" s="46"/>
      <c r="R191" s="212"/>
    </row>
    <row r="192" spans="1:18" s="213" customFormat="1" x14ac:dyDescent="0.25">
      <c r="A192" s="212"/>
      <c r="B192" s="85" t="s">
        <v>136</v>
      </c>
      <c r="C192" s="85"/>
      <c r="D192" s="85"/>
      <c r="E192" s="224">
        <f>+E191-E184</f>
        <v>100000</v>
      </c>
      <c r="F192" s="224">
        <f>+F191-F184</f>
        <v>100000</v>
      </c>
      <c r="G192" s="224">
        <f>+G191-G184</f>
        <v>100000</v>
      </c>
      <c r="H192" s="87"/>
      <c r="I192" s="85"/>
      <c r="J192" s="85"/>
      <c r="K192" s="114"/>
      <c r="L192" s="108"/>
      <c r="M192" s="86"/>
      <c r="N192" s="108"/>
      <c r="O192" s="86"/>
      <c r="P192" s="108"/>
      <c r="Q192" s="46"/>
      <c r="R192" s="212"/>
    </row>
    <row r="193" spans="1:18" s="213" customFormat="1" x14ac:dyDescent="0.25">
      <c r="A193" s="212"/>
      <c r="B193" s="85"/>
      <c r="C193" s="85"/>
      <c r="D193" s="85"/>
      <c r="E193" s="85"/>
      <c r="F193" s="85"/>
      <c r="G193" s="221"/>
      <c r="H193" s="87"/>
      <c r="I193" s="85"/>
      <c r="J193" s="85"/>
      <c r="K193" s="114"/>
      <c r="L193" s="108"/>
      <c r="M193" s="86"/>
      <c r="N193" s="108"/>
      <c r="O193" s="86"/>
      <c r="P193" s="108"/>
      <c r="Q193" s="46"/>
      <c r="R193" s="212"/>
    </row>
    <row r="194" spans="1:18" s="213" customFormat="1" x14ac:dyDescent="0.25">
      <c r="A194" s="212"/>
      <c r="B194" s="85"/>
      <c r="C194" s="85"/>
      <c r="D194" s="85"/>
      <c r="E194" s="85"/>
      <c r="F194" s="85"/>
      <c r="G194" s="221"/>
      <c r="H194" s="87"/>
      <c r="I194" s="85"/>
      <c r="J194" s="85"/>
      <c r="K194" s="114"/>
      <c r="L194" s="108"/>
      <c r="M194" s="86"/>
      <c r="N194" s="108"/>
      <c r="O194" s="86"/>
      <c r="P194" s="108"/>
      <c r="Q194" s="46"/>
      <c r="R194" s="212"/>
    </row>
    <row r="195" spans="1:18" s="213" customFormat="1" x14ac:dyDescent="0.25">
      <c r="A195" s="212"/>
      <c r="B195" s="85" t="s">
        <v>384</v>
      </c>
      <c r="C195" s="85"/>
      <c r="D195" s="85"/>
      <c r="E195" s="85"/>
      <c r="F195" s="85"/>
      <c r="G195" s="221"/>
      <c r="H195" s="87"/>
      <c r="I195" s="85"/>
      <c r="J195" s="85"/>
      <c r="K195" s="114"/>
      <c r="L195" s="108"/>
      <c r="M195" s="86"/>
      <c r="N195" s="108"/>
      <c r="O195" s="86"/>
      <c r="P195" s="108"/>
      <c r="Q195" s="46"/>
      <c r="R195" s="212"/>
    </row>
    <row r="196" spans="1:18" s="213" customFormat="1" ht="16.5" customHeight="1" x14ac:dyDescent="0.25">
      <c r="A196" s="212"/>
      <c r="B196" s="85" t="s">
        <v>39</v>
      </c>
      <c r="C196" s="85"/>
      <c r="D196" s="85"/>
      <c r="E196" s="85"/>
      <c r="F196" s="85"/>
      <c r="G196" s="85"/>
      <c r="H196" s="85"/>
      <c r="I196" s="85"/>
      <c r="J196" s="85"/>
      <c r="K196" s="114"/>
      <c r="L196" s="108"/>
      <c r="M196" s="86"/>
      <c r="N196" s="108"/>
      <c r="O196" s="86"/>
      <c r="P196" s="108"/>
      <c r="Q196" s="46"/>
      <c r="R196" s="212"/>
    </row>
    <row r="197" spans="1:18" x14ac:dyDescent="0.25">
      <c r="A197" s="87"/>
      <c r="B197" s="111" t="s">
        <v>99</v>
      </c>
      <c r="C197" s="85"/>
      <c r="D197" s="87"/>
      <c r="E197" s="87"/>
      <c r="F197" s="87"/>
      <c r="G197" s="87"/>
      <c r="H197" s="87">
        <f t="shared" ref="H197:H202" si="38">IF(A197=0,0,1)</f>
        <v>0</v>
      </c>
      <c r="I197" s="87"/>
      <c r="J197" s="87"/>
      <c r="K197" s="115">
        <v>0</v>
      </c>
      <c r="L197" s="107"/>
      <c r="M197" s="89">
        <v>0</v>
      </c>
      <c r="N197" s="107"/>
      <c r="O197" s="89">
        <f>+F206</f>
        <v>900000</v>
      </c>
      <c r="P197" s="107"/>
      <c r="R197" s="87" t="s">
        <v>98</v>
      </c>
    </row>
    <row r="198" spans="1:18" x14ac:dyDescent="0.25">
      <c r="A198" s="87"/>
      <c r="B198" s="111" t="s">
        <v>132</v>
      </c>
      <c r="C198" s="85"/>
      <c r="D198" s="87"/>
      <c r="E198" s="87"/>
      <c r="F198" s="87"/>
      <c r="G198" s="87"/>
      <c r="H198" s="87">
        <f t="shared" si="38"/>
        <v>0</v>
      </c>
      <c r="I198" s="87"/>
      <c r="J198" s="87"/>
      <c r="K198" s="115">
        <f>+F208</f>
        <v>850000</v>
      </c>
      <c r="L198" s="107"/>
      <c r="M198" s="89">
        <f>+F207</f>
        <v>1000000</v>
      </c>
      <c r="N198" s="107"/>
      <c r="O198" s="89"/>
      <c r="P198" s="107"/>
      <c r="R198" s="87" t="s">
        <v>103</v>
      </c>
    </row>
    <row r="199" spans="1:18" x14ac:dyDescent="0.25">
      <c r="A199" s="87"/>
      <c r="B199" s="226" t="s">
        <v>63</v>
      </c>
      <c r="C199" s="85"/>
      <c r="D199" s="87"/>
      <c r="E199" s="87"/>
      <c r="F199" s="87"/>
      <c r="G199" s="87"/>
      <c r="H199" s="87">
        <f t="shared" si="38"/>
        <v>0</v>
      </c>
      <c r="I199" s="87"/>
      <c r="J199" s="87"/>
      <c r="K199" s="115"/>
      <c r="L199" s="107">
        <f>+K198</f>
        <v>850000</v>
      </c>
      <c r="M199" s="89"/>
      <c r="N199" s="107">
        <f>+M198</f>
        <v>1000000</v>
      </c>
      <c r="O199" s="89"/>
      <c r="P199" s="107">
        <f>+O197</f>
        <v>900000</v>
      </c>
      <c r="R199" s="87" t="s">
        <v>62</v>
      </c>
    </row>
    <row r="200" spans="1:18" x14ac:dyDescent="0.25">
      <c r="A200" s="87"/>
      <c r="B200" s="226"/>
      <c r="C200" s="85"/>
      <c r="D200" s="87"/>
      <c r="E200" s="87"/>
      <c r="F200" s="87"/>
      <c r="G200" s="87"/>
      <c r="H200" s="87"/>
      <c r="I200" s="87"/>
      <c r="J200" s="87"/>
      <c r="K200" s="114"/>
      <c r="L200" s="108"/>
      <c r="M200" s="86"/>
      <c r="N200" s="108"/>
      <c r="O200" s="86"/>
      <c r="P200" s="108"/>
      <c r="R200" s="87"/>
    </row>
    <row r="201" spans="1:18" x14ac:dyDescent="0.25">
      <c r="A201" s="87"/>
      <c r="B201" s="111" t="s">
        <v>99</v>
      </c>
      <c r="C201" s="85"/>
      <c r="D201" s="87"/>
      <c r="E201" s="87"/>
      <c r="F201" s="87"/>
      <c r="G201" s="87"/>
      <c r="H201" s="87">
        <f t="shared" si="38"/>
        <v>0</v>
      </c>
      <c r="I201" s="87"/>
      <c r="J201" s="87"/>
      <c r="K201" s="115">
        <f>+M198</f>
        <v>1000000</v>
      </c>
      <c r="L201" s="108"/>
      <c r="M201" s="89">
        <f>+O197</f>
        <v>900000</v>
      </c>
      <c r="N201" s="107"/>
      <c r="O201" s="89"/>
      <c r="P201" s="107"/>
      <c r="R201" s="87" t="s">
        <v>98</v>
      </c>
    </row>
    <row r="202" spans="1:18" x14ac:dyDescent="0.25">
      <c r="A202" s="87"/>
      <c r="B202" s="111" t="s">
        <v>132</v>
      </c>
      <c r="C202" s="85"/>
      <c r="D202" s="87"/>
      <c r="E202" s="87"/>
      <c r="F202" s="87"/>
      <c r="G202" s="87"/>
      <c r="H202" s="87">
        <f t="shared" si="38"/>
        <v>0</v>
      </c>
      <c r="I202" s="87"/>
      <c r="J202" s="87"/>
      <c r="K202" s="115"/>
      <c r="L202" s="107">
        <f>+K201</f>
        <v>1000000</v>
      </c>
      <c r="M202" s="89"/>
      <c r="N202" s="107">
        <f>+M201</f>
        <v>900000</v>
      </c>
      <c r="O202" s="89"/>
      <c r="P202" s="107"/>
      <c r="R202" s="87" t="s">
        <v>103</v>
      </c>
    </row>
    <row r="203" spans="1:18" x14ac:dyDescent="0.25">
      <c r="A203" s="214"/>
      <c r="B203" s="87"/>
      <c r="C203" s="87"/>
      <c r="D203" s="87"/>
      <c r="E203" s="87"/>
      <c r="F203" s="212" t="s">
        <v>367</v>
      </c>
      <c r="G203" s="87"/>
      <c r="H203" s="87"/>
      <c r="I203" s="87"/>
      <c r="J203" s="87"/>
      <c r="K203" s="115"/>
      <c r="L203" s="107"/>
      <c r="M203" s="89"/>
      <c r="N203" s="107"/>
      <c r="O203" s="89"/>
      <c r="P203" s="107"/>
      <c r="R203" s="214"/>
    </row>
    <row r="204" spans="1:18" x14ac:dyDescent="0.25">
      <c r="A204" s="214"/>
      <c r="B204" s="87"/>
      <c r="C204" s="87"/>
      <c r="D204" s="87"/>
      <c r="E204" s="87"/>
      <c r="F204" s="212" t="s">
        <v>156</v>
      </c>
      <c r="G204" s="87"/>
      <c r="H204" s="87"/>
      <c r="I204" s="87"/>
      <c r="J204" s="87"/>
      <c r="K204" s="115"/>
      <c r="L204" s="107"/>
      <c r="M204" s="89"/>
      <c r="N204" s="107"/>
      <c r="O204" s="89"/>
      <c r="P204" s="107"/>
      <c r="R204" s="214"/>
    </row>
    <row r="205" spans="1:18" x14ac:dyDescent="0.25">
      <c r="A205" s="214"/>
      <c r="B205" s="87"/>
      <c r="C205" s="87"/>
      <c r="D205" s="87"/>
      <c r="E205" s="87"/>
      <c r="F205" s="212" t="s">
        <v>384</v>
      </c>
      <c r="G205" s="87"/>
      <c r="H205" s="87"/>
      <c r="I205" s="87"/>
      <c r="J205" s="87"/>
      <c r="K205" s="115"/>
      <c r="L205" s="107"/>
      <c r="M205" s="89"/>
      <c r="N205" s="107"/>
      <c r="O205" s="89"/>
      <c r="P205" s="107"/>
      <c r="R205" s="214"/>
    </row>
    <row r="206" spans="1:18" x14ac:dyDescent="0.25">
      <c r="A206" s="214"/>
      <c r="B206" s="87"/>
      <c r="C206" s="85" t="s">
        <v>404</v>
      </c>
      <c r="D206" s="87"/>
      <c r="E206" s="87"/>
      <c r="F206" s="218">
        <v>900000</v>
      </c>
      <c r="G206" s="87"/>
      <c r="H206" s="87"/>
      <c r="I206" s="87"/>
      <c r="J206" s="87"/>
      <c r="K206" s="115"/>
      <c r="L206" s="107"/>
      <c r="M206" s="89"/>
      <c r="N206" s="107"/>
      <c r="O206" s="89"/>
      <c r="P206" s="107"/>
      <c r="R206" s="214"/>
    </row>
    <row r="207" spans="1:18" x14ac:dyDescent="0.25">
      <c r="A207" s="214"/>
      <c r="B207" s="87"/>
      <c r="C207" s="85" t="s">
        <v>402</v>
      </c>
      <c r="D207" s="87"/>
      <c r="E207" s="87"/>
      <c r="F207" s="218">
        <v>1000000</v>
      </c>
      <c r="G207" s="87"/>
      <c r="H207" s="87"/>
      <c r="I207" s="87"/>
      <c r="J207" s="87"/>
      <c r="K207" s="115"/>
      <c r="L207" s="107"/>
      <c r="M207" s="89"/>
      <c r="N207" s="107"/>
      <c r="O207" s="89"/>
      <c r="P207" s="107"/>
      <c r="R207" s="214"/>
    </row>
    <row r="208" spans="1:18" x14ac:dyDescent="0.25">
      <c r="A208" s="214"/>
      <c r="B208" s="87"/>
      <c r="C208" s="85" t="s">
        <v>399</v>
      </c>
      <c r="D208" s="87"/>
      <c r="E208" s="87"/>
      <c r="F208" s="218">
        <v>850000</v>
      </c>
      <c r="G208" s="87"/>
      <c r="H208" s="87"/>
      <c r="I208" s="87"/>
      <c r="J208" s="87"/>
      <c r="K208" s="115"/>
      <c r="L208" s="107"/>
      <c r="M208" s="89"/>
      <c r="N208" s="107"/>
      <c r="O208" s="89"/>
      <c r="P208" s="107"/>
      <c r="R208" s="214"/>
    </row>
    <row r="209" spans="1:18" x14ac:dyDescent="0.25">
      <c r="A209" s="214"/>
      <c r="B209" s="87"/>
      <c r="C209" s="85"/>
      <c r="D209" s="87"/>
      <c r="E209" s="87"/>
      <c r="F209" s="218"/>
      <c r="G209" s="87"/>
      <c r="H209" s="87"/>
      <c r="I209" s="87"/>
      <c r="J209" s="87"/>
      <c r="K209" s="115"/>
      <c r="L209" s="107"/>
      <c r="M209" s="89"/>
      <c r="N209" s="107"/>
      <c r="O209" s="89"/>
      <c r="P209" s="107"/>
      <c r="R209" s="214"/>
    </row>
    <row r="210" spans="1:18" x14ac:dyDescent="0.25">
      <c r="A210" s="214"/>
      <c r="B210" s="85" t="s">
        <v>12</v>
      </c>
      <c r="C210" s="85"/>
      <c r="D210" s="87"/>
      <c r="E210" s="87"/>
      <c r="F210" s="218"/>
      <c r="G210" s="87"/>
      <c r="H210" s="87"/>
      <c r="I210" s="87"/>
      <c r="J210" s="87"/>
      <c r="K210" s="115"/>
      <c r="L210" s="107"/>
      <c r="M210" s="89"/>
      <c r="N210" s="107"/>
      <c r="O210" s="89"/>
      <c r="P210" s="107"/>
      <c r="R210" s="214"/>
    </row>
    <row r="211" spans="1:18" s="213" customFormat="1" x14ac:dyDescent="0.25">
      <c r="A211" s="214"/>
      <c r="B211" s="85" t="s">
        <v>37</v>
      </c>
      <c r="C211" s="85"/>
      <c r="D211" s="85"/>
      <c r="E211" s="85"/>
      <c r="F211" s="85"/>
      <c r="G211" s="85"/>
      <c r="H211" s="85"/>
      <c r="I211" s="87"/>
      <c r="J211" s="85"/>
      <c r="K211" s="114"/>
      <c r="L211" s="108"/>
      <c r="M211" s="86"/>
      <c r="N211" s="108"/>
      <c r="O211" s="86"/>
      <c r="P211" s="108"/>
      <c r="Q211" s="46"/>
      <c r="R211" s="214"/>
    </row>
    <row r="212" spans="1:18" s="213" customFormat="1" x14ac:dyDescent="0.25">
      <c r="A212" s="87"/>
      <c r="B212" s="111" t="s">
        <v>166</v>
      </c>
      <c r="C212" s="111"/>
      <c r="D212" s="85"/>
      <c r="E212" s="85"/>
      <c r="F212" s="85"/>
      <c r="G212" s="85"/>
      <c r="H212" s="87">
        <f t="shared" ref="H212:H215" si="39">IF(A212=0,0,1)</f>
        <v>0</v>
      </c>
      <c r="I212" s="87"/>
      <c r="J212" s="85"/>
      <c r="K212" s="115">
        <f>+E222</f>
        <v>95499.999999999913</v>
      </c>
      <c r="L212" s="107"/>
      <c r="M212" s="89">
        <f>+F222</f>
        <v>158200.00000000029</v>
      </c>
      <c r="N212" s="107"/>
      <c r="O212" s="89">
        <v>0</v>
      </c>
      <c r="P212" s="107"/>
      <c r="Q212" s="46"/>
      <c r="R212" s="87" t="s">
        <v>210</v>
      </c>
    </row>
    <row r="213" spans="1:18" s="213" customFormat="1" x14ac:dyDescent="0.25">
      <c r="A213" s="87"/>
      <c r="B213" s="111" t="s">
        <v>99</v>
      </c>
      <c r="C213" s="85"/>
      <c r="D213" s="85"/>
      <c r="E213" s="85"/>
      <c r="F213" s="85"/>
      <c r="G213" s="85"/>
      <c r="H213" s="87">
        <f t="shared" si="39"/>
        <v>0</v>
      </c>
      <c r="I213" s="87"/>
      <c r="J213" s="85"/>
      <c r="K213" s="115">
        <f>+M212-N213</f>
        <v>125800.00000000013</v>
      </c>
      <c r="L213" s="107"/>
      <c r="M213" s="89"/>
      <c r="N213" s="107">
        <f>+P213</f>
        <v>32400.000000000164</v>
      </c>
      <c r="O213" s="89"/>
      <c r="P213" s="107">
        <f>+O214</f>
        <v>32400.000000000164</v>
      </c>
      <c r="Q213" s="46"/>
      <c r="R213" s="87" t="s">
        <v>98</v>
      </c>
    </row>
    <row r="214" spans="1:18" s="213" customFormat="1" x14ac:dyDescent="0.25">
      <c r="A214" s="87"/>
      <c r="B214" s="226" t="s">
        <v>67</v>
      </c>
      <c r="C214" s="226"/>
      <c r="D214" s="85"/>
      <c r="E214" s="85"/>
      <c r="F214" s="85"/>
      <c r="G214" s="85"/>
      <c r="H214" s="87">
        <f t="shared" si="39"/>
        <v>0</v>
      </c>
      <c r="I214" s="87"/>
      <c r="J214" s="85"/>
      <c r="K214" s="115"/>
      <c r="L214" s="107">
        <f>+E222</f>
        <v>95499.999999999913</v>
      </c>
      <c r="M214" s="89"/>
      <c r="N214" s="107">
        <f>+F222</f>
        <v>158200.00000000029</v>
      </c>
      <c r="O214" s="89">
        <f>-G222</f>
        <v>32400.000000000164</v>
      </c>
      <c r="P214" s="107"/>
      <c r="Q214" s="46"/>
      <c r="R214" s="87" t="s">
        <v>66</v>
      </c>
    </row>
    <row r="215" spans="1:18" s="213" customFormat="1" x14ac:dyDescent="0.25">
      <c r="A215" s="87"/>
      <c r="B215" s="111" t="s">
        <v>71</v>
      </c>
      <c r="C215" s="85"/>
      <c r="D215" s="85"/>
      <c r="E215" s="85"/>
      <c r="F215" s="85"/>
      <c r="G215" s="85"/>
      <c r="H215" s="87">
        <f t="shared" si="39"/>
        <v>0</v>
      </c>
      <c r="I215" s="87"/>
      <c r="J215" s="85"/>
      <c r="K215" s="115"/>
      <c r="L215" s="107">
        <f>+K213</f>
        <v>125800.00000000013</v>
      </c>
      <c r="M215" s="89">
        <f>+N213</f>
        <v>32400.000000000164</v>
      </c>
      <c r="N215" s="107"/>
      <c r="O215" s="89"/>
      <c r="P215" s="107"/>
      <c r="Q215" s="46"/>
      <c r="R215" s="87" t="s">
        <v>70</v>
      </c>
    </row>
    <row r="216" spans="1:18" s="213" customFormat="1" x14ac:dyDescent="0.25">
      <c r="A216" s="87"/>
      <c r="B216" s="111"/>
      <c r="C216" s="85"/>
      <c r="D216" s="85"/>
      <c r="E216" s="85"/>
      <c r="F216" s="85"/>
      <c r="G216" s="85"/>
      <c r="H216" s="85"/>
      <c r="I216" s="87"/>
      <c r="J216" s="85"/>
      <c r="K216" s="115"/>
      <c r="L216" s="107"/>
      <c r="M216" s="89"/>
      <c r="N216" s="107"/>
      <c r="O216" s="89"/>
      <c r="P216" s="107"/>
      <c r="Q216" s="46"/>
      <c r="R216" s="87"/>
    </row>
    <row r="217" spans="1:18" s="213" customFormat="1" x14ac:dyDescent="0.25">
      <c r="A217" s="85"/>
      <c r="B217" s="87"/>
      <c r="C217" s="87"/>
      <c r="D217" s="87"/>
      <c r="E217" s="212">
        <v>2025</v>
      </c>
      <c r="F217" s="212">
        <v>2024</v>
      </c>
      <c r="G217" s="212">
        <v>2023</v>
      </c>
      <c r="H217" s="85"/>
      <c r="I217" s="87"/>
      <c r="J217" s="85"/>
      <c r="K217" s="114"/>
      <c r="L217" s="108"/>
      <c r="M217" s="86"/>
      <c r="N217" s="108"/>
      <c r="O217" s="86"/>
      <c r="P217" s="108"/>
      <c r="Q217" s="46"/>
      <c r="R217" s="85"/>
    </row>
    <row r="218" spans="1:18" s="213" customFormat="1" x14ac:dyDescent="0.25">
      <c r="A218" s="85"/>
      <c r="B218" s="109"/>
      <c r="C218" s="109"/>
      <c r="D218" s="109"/>
      <c r="E218" s="235" t="s">
        <v>160</v>
      </c>
      <c r="F218" s="235" t="s">
        <v>160</v>
      </c>
      <c r="G218" s="235" t="s">
        <v>160</v>
      </c>
      <c r="H218" s="85"/>
      <c r="I218" s="87"/>
      <c r="J218" s="85"/>
      <c r="K218" s="114"/>
      <c r="L218" s="108"/>
      <c r="M218" s="86"/>
      <c r="N218" s="108"/>
      <c r="O218" s="86"/>
      <c r="P218" s="108"/>
      <c r="Q218" s="46"/>
      <c r="R218" s="85"/>
    </row>
    <row r="219" spans="1:18" s="213" customFormat="1" x14ac:dyDescent="0.25">
      <c r="A219" s="85"/>
      <c r="B219" s="216" t="s">
        <v>159</v>
      </c>
      <c r="C219" s="216"/>
      <c r="D219" s="216"/>
      <c r="E219" s="236">
        <v>500000</v>
      </c>
      <c r="F219" s="236">
        <v>700000</v>
      </c>
      <c r="G219" s="236">
        <v>600000</v>
      </c>
      <c r="H219" s="85"/>
      <c r="I219" s="87"/>
      <c r="J219" s="85"/>
      <c r="K219" s="114"/>
      <c r="L219" s="108"/>
      <c r="M219" s="86"/>
      <c r="N219" s="108"/>
      <c r="O219" s="86"/>
      <c r="P219" s="108"/>
      <c r="Q219" s="46"/>
      <c r="R219" s="85"/>
    </row>
    <row r="220" spans="1:18" s="213" customFormat="1" x14ac:dyDescent="0.25">
      <c r="A220" s="85"/>
      <c r="B220" s="85" t="s">
        <v>161</v>
      </c>
      <c r="C220" s="85"/>
      <c r="D220" s="85"/>
      <c r="E220" s="237">
        <v>3</v>
      </c>
      <c r="F220" s="237">
        <v>2.7639999999999998</v>
      </c>
      <c r="G220" s="237">
        <v>2.85</v>
      </c>
      <c r="H220" s="85"/>
      <c r="I220" s="87"/>
      <c r="J220" s="85"/>
      <c r="K220" s="114"/>
      <c r="L220" s="108"/>
      <c r="M220" s="86"/>
      <c r="N220" s="108"/>
      <c r="O220" s="86"/>
      <c r="P220" s="108"/>
      <c r="Q220" s="46"/>
      <c r="R220" s="85"/>
    </row>
    <row r="221" spans="1:18" s="213" customFormat="1" x14ac:dyDescent="0.25">
      <c r="A221" s="85"/>
      <c r="B221" s="85" t="s">
        <v>162</v>
      </c>
      <c r="C221" s="85"/>
      <c r="D221" s="85"/>
      <c r="E221" s="237">
        <v>3.1909999999999998</v>
      </c>
      <c r="F221" s="237">
        <v>2.99</v>
      </c>
      <c r="G221" s="85">
        <v>2.7959999999999998</v>
      </c>
      <c r="H221" s="85"/>
      <c r="I221" s="87"/>
      <c r="J221" s="85"/>
      <c r="K221" s="114"/>
      <c r="L221" s="108"/>
      <c r="M221" s="86"/>
      <c r="N221" s="108"/>
      <c r="O221" s="86"/>
      <c r="P221" s="108"/>
      <c r="Q221" s="46"/>
      <c r="R221" s="85"/>
    </row>
    <row r="222" spans="1:18" s="213" customFormat="1" x14ac:dyDescent="0.25">
      <c r="A222" s="85"/>
      <c r="B222" s="85" t="s">
        <v>163</v>
      </c>
      <c r="C222" s="85"/>
      <c r="D222" s="85"/>
      <c r="E222" s="238">
        <f>(E221-E220)*E219</f>
        <v>95499.999999999913</v>
      </c>
      <c r="F222" s="238">
        <f>(F221-F220)*F219</f>
        <v>158200.00000000029</v>
      </c>
      <c r="G222" s="238">
        <f>(G221-G220)*G219</f>
        <v>-32400.000000000164</v>
      </c>
      <c r="H222" s="85"/>
      <c r="I222" s="87"/>
      <c r="J222" s="85"/>
      <c r="K222" s="114"/>
      <c r="L222" s="108"/>
      <c r="M222" s="86"/>
      <c r="N222" s="108"/>
      <c r="O222" s="86"/>
      <c r="P222" s="108"/>
      <c r="Q222" s="46"/>
      <c r="R222" s="85"/>
    </row>
    <row r="223" spans="1:18" s="213" customFormat="1" x14ac:dyDescent="0.25">
      <c r="A223" s="212"/>
      <c r="B223" s="85"/>
      <c r="C223" s="85"/>
      <c r="D223" s="85"/>
      <c r="E223" s="85"/>
      <c r="F223" s="85"/>
      <c r="G223" s="85"/>
      <c r="H223" s="85"/>
      <c r="I223" s="85"/>
      <c r="J223" s="85"/>
      <c r="K223" s="114"/>
      <c r="L223" s="108"/>
      <c r="M223" s="86"/>
      <c r="N223" s="108"/>
      <c r="O223" s="86"/>
      <c r="P223" s="108"/>
      <c r="Q223" s="46"/>
      <c r="R223" s="212"/>
    </row>
    <row r="224" spans="1:18" s="213" customFormat="1" x14ac:dyDescent="0.25">
      <c r="A224" s="212"/>
      <c r="B224" s="85" t="s">
        <v>12</v>
      </c>
      <c r="C224" s="85"/>
      <c r="D224" s="85"/>
      <c r="E224" s="85"/>
      <c r="F224" s="85"/>
      <c r="G224" s="85"/>
      <c r="H224" s="85"/>
      <c r="I224" s="85"/>
      <c r="J224" s="85"/>
      <c r="K224" s="114"/>
      <c r="L224" s="108"/>
      <c r="M224" s="86"/>
      <c r="N224" s="108"/>
      <c r="O224" s="86"/>
      <c r="P224" s="108"/>
      <c r="Q224" s="46"/>
      <c r="R224" s="212"/>
    </row>
    <row r="225" spans="1:18" s="213" customFormat="1" x14ac:dyDescent="0.25">
      <c r="A225" s="212"/>
      <c r="B225" s="85" t="s">
        <v>38</v>
      </c>
      <c r="C225" s="85"/>
      <c r="D225" s="85"/>
      <c r="E225" s="85"/>
      <c r="F225" s="85"/>
      <c r="G225" s="85"/>
      <c r="H225" s="85"/>
      <c r="I225" s="85"/>
      <c r="J225" s="85"/>
      <c r="K225" s="114"/>
      <c r="L225" s="108"/>
      <c r="M225" s="86"/>
      <c r="N225" s="108"/>
      <c r="O225" s="86"/>
      <c r="P225" s="108"/>
      <c r="Q225" s="46"/>
      <c r="R225" s="212"/>
    </row>
    <row r="226" spans="1:18" s="213" customFormat="1" x14ac:dyDescent="0.25">
      <c r="A226" s="87"/>
      <c r="B226" s="111" t="s">
        <v>89</v>
      </c>
      <c r="C226" s="85"/>
      <c r="D226" s="85"/>
      <c r="E226" s="85"/>
      <c r="F226" s="85"/>
      <c r="G226" s="85"/>
      <c r="H226" s="87">
        <f t="shared" ref="H226:H227" si="40">IF(A226=0,0,1)</f>
        <v>0</v>
      </c>
      <c r="I226" s="85"/>
      <c r="J226" s="85"/>
      <c r="K226" s="115">
        <f>+E240</f>
        <v>7977500</v>
      </c>
      <c r="L226" s="108"/>
      <c r="M226" s="89">
        <f>++F240</f>
        <v>6578000.0000000009</v>
      </c>
      <c r="N226" s="108"/>
      <c r="O226" s="89">
        <f>+G240</f>
        <v>5592000</v>
      </c>
      <c r="P226" s="108"/>
      <c r="Q226" s="46"/>
      <c r="R226" s="87" t="s">
        <v>88</v>
      </c>
    </row>
    <row r="227" spans="1:18" s="213" customFormat="1" x14ac:dyDescent="0.25">
      <c r="A227" s="87"/>
      <c r="B227" s="111" t="s">
        <v>170</v>
      </c>
      <c r="C227" s="85"/>
      <c r="D227" s="85"/>
      <c r="E227" s="85"/>
      <c r="F227" s="85"/>
      <c r="G227" s="85"/>
      <c r="H227" s="87">
        <f t="shared" si="40"/>
        <v>0</v>
      </c>
      <c r="I227" s="85"/>
      <c r="J227" s="85"/>
      <c r="K227" s="115"/>
      <c r="L227" s="107">
        <f>+K226</f>
        <v>7977500</v>
      </c>
      <c r="M227" s="89"/>
      <c r="N227" s="107">
        <f>+M226</f>
        <v>6578000.0000000009</v>
      </c>
      <c r="O227" s="89"/>
      <c r="P227" s="107">
        <f>+O226</f>
        <v>5592000</v>
      </c>
      <c r="Q227" s="46"/>
      <c r="R227" s="87" t="s">
        <v>169</v>
      </c>
    </row>
    <row r="228" spans="1:18" s="213" customFormat="1" x14ac:dyDescent="0.25">
      <c r="A228" s="33"/>
      <c r="B228" s="239"/>
      <c r="C228" s="85"/>
      <c r="D228" s="85"/>
      <c r="E228" s="85"/>
      <c r="F228" s="85"/>
      <c r="G228" s="85"/>
      <c r="H228" s="85"/>
      <c r="I228" s="85"/>
      <c r="J228" s="85"/>
      <c r="K228" s="114"/>
      <c r="L228" s="108"/>
      <c r="M228" s="86"/>
      <c r="N228" s="108"/>
      <c r="O228" s="86"/>
      <c r="P228" s="108"/>
      <c r="Q228" s="46"/>
      <c r="R228" s="33"/>
    </row>
    <row r="229" spans="1:18" s="213" customFormat="1" x14ac:dyDescent="0.25">
      <c r="A229" s="87"/>
      <c r="B229" s="111" t="s">
        <v>170</v>
      </c>
      <c r="C229" s="85"/>
      <c r="D229" s="85"/>
      <c r="E229" s="85"/>
      <c r="F229" s="85"/>
      <c r="G229" s="85"/>
      <c r="H229" s="87">
        <f t="shared" ref="H229:H232" si="41">IF(A229=0,0,1)</f>
        <v>0</v>
      </c>
      <c r="I229" s="85"/>
      <c r="J229" s="85"/>
      <c r="K229" s="115">
        <f>+E239</f>
        <v>477499.99999999959</v>
      </c>
      <c r="L229" s="107"/>
      <c r="M229" s="89">
        <f>+F239</f>
        <v>497200.00000000093</v>
      </c>
      <c r="N229" s="107"/>
      <c r="O229" s="89"/>
      <c r="P229" s="107">
        <f>-G239</f>
        <v>108000.00000000054</v>
      </c>
      <c r="Q229" s="46"/>
      <c r="R229" s="87" t="s">
        <v>169</v>
      </c>
    </row>
    <row r="230" spans="1:18" s="213" customFormat="1" x14ac:dyDescent="0.25">
      <c r="A230" s="87"/>
      <c r="B230" s="111" t="s">
        <v>166</v>
      </c>
      <c r="C230" s="85"/>
      <c r="D230" s="85"/>
      <c r="E230" s="85"/>
      <c r="F230" s="85"/>
      <c r="G230" s="85"/>
      <c r="H230" s="87">
        <f t="shared" si="41"/>
        <v>0</v>
      </c>
      <c r="I230" s="85"/>
      <c r="J230" s="85"/>
      <c r="K230" s="115"/>
      <c r="L230" s="107">
        <f>+K229</f>
        <v>477499.99999999959</v>
      </c>
      <c r="M230" s="89"/>
      <c r="N230" s="107">
        <f>+M229</f>
        <v>497200.00000000093</v>
      </c>
      <c r="O230" s="89"/>
      <c r="P230" s="107"/>
      <c r="Q230" s="46"/>
      <c r="R230" s="87" t="s">
        <v>210</v>
      </c>
    </row>
    <row r="231" spans="1:18" s="213" customFormat="1" x14ac:dyDescent="0.25">
      <c r="A231" s="87"/>
      <c r="B231" s="111" t="s">
        <v>99</v>
      </c>
      <c r="C231" s="85"/>
      <c r="D231" s="85"/>
      <c r="E231" s="85"/>
      <c r="F231" s="85"/>
      <c r="G231" s="85"/>
      <c r="H231" s="87">
        <f t="shared" si="41"/>
        <v>0</v>
      </c>
      <c r="I231" s="85"/>
      <c r="J231" s="85"/>
      <c r="K231" s="115"/>
      <c r="L231" s="107">
        <f>+N230</f>
        <v>497200.00000000093</v>
      </c>
      <c r="M231" s="89">
        <f>+O231</f>
        <v>108000.00000000054</v>
      </c>
      <c r="N231" s="107"/>
      <c r="O231" s="89">
        <f>+P229</f>
        <v>108000.00000000054</v>
      </c>
      <c r="P231" s="107"/>
      <c r="Q231" s="46"/>
      <c r="R231" s="87" t="s">
        <v>98</v>
      </c>
    </row>
    <row r="232" spans="1:18" s="213" customFormat="1" x14ac:dyDescent="0.25">
      <c r="A232" s="33"/>
      <c r="B232" s="239" t="s">
        <v>132</v>
      </c>
      <c r="C232" s="85"/>
      <c r="D232" s="85"/>
      <c r="E232" s="85"/>
      <c r="F232" s="85"/>
      <c r="G232" s="85"/>
      <c r="H232" s="87">
        <f t="shared" si="41"/>
        <v>0</v>
      </c>
      <c r="I232" s="85"/>
      <c r="J232" s="85"/>
      <c r="K232" s="115">
        <f>+L231</f>
        <v>497200.00000000093</v>
      </c>
      <c r="L232" s="107"/>
      <c r="M232" s="89"/>
      <c r="N232" s="107">
        <f>+M231</f>
        <v>108000.00000000054</v>
      </c>
      <c r="O232" s="89"/>
      <c r="P232" s="107"/>
      <c r="Q232" s="46"/>
      <c r="R232" s="33" t="s">
        <v>103</v>
      </c>
    </row>
    <row r="233" spans="1:18" s="213" customFormat="1" x14ac:dyDescent="0.25">
      <c r="A233" s="212"/>
      <c r="B233" s="85"/>
      <c r="C233" s="85"/>
      <c r="D233" s="85"/>
      <c r="E233" s="85"/>
      <c r="F233" s="85"/>
      <c r="G233" s="85"/>
      <c r="H233" s="85"/>
      <c r="I233" s="85"/>
      <c r="J233" s="85"/>
      <c r="K233" s="114"/>
      <c r="L233" s="108"/>
      <c r="M233" s="86"/>
      <c r="N233" s="108"/>
      <c r="O233" s="86"/>
      <c r="P233" s="108"/>
      <c r="Q233" s="46"/>
      <c r="R233" s="212"/>
    </row>
    <row r="234" spans="1:18" s="213" customFormat="1" x14ac:dyDescent="0.25">
      <c r="A234" s="212"/>
      <c r="B234" s="240"/>
      <c r="C234" s="240"/>
      <c r="D234" s="240"/>
      <c r="E234" s="241">
        <v>2025</v>
      </c>
      <c r="F234" s="241">
        <v>2024</v>
      </c>
      <c r="G234" s="241">
        <v>2023</v>
      </c>
      <c r="H234" s="85"/>
      <c r="I234" s="85"/>
      <c r="J234" s="85"/>
      <c r="K234" s="114"/>
      <c r="L234" s="108"/>
      <c r="M234" s="86"/>
      <c r="N234" s="108"/>
      <c r="O234" s="86"/>
      <c r="P234" s="108"/>
      <c r="Q234" s="46"/>
      <c r="R234" s="212"/>
    </row>
    <row r="235" spans="1:18" s="213" customFormat="1" x14ac:dyDescent="0.25">
      <c r="A235" s="212"/>
      <c r="B235" s="242"/>
      <c r="C235" s="242"/>
      <c r="D235" s="242"/>
      <c r="E235" s="243" t="s">
        <v>160</v>
      </c>
      <c r="F235" s="243" t="s">
        <v>160</v>
      </c>
      <c r="G235" s="243" t="s">
        <v>160</v>
      </c>
      <c r="H235" s="85"/>
      <c r="I235" s="85"/>
      <c r="J235" s="85"/>
      <c r="K235" s="114"/>
      <c r="L235" s="108"/>
      <c r="M235" s="86"/>
      <c r="N235" s="108"/>
      <c r="O235" s="86"/>
      <c r="P235" s="108"/>
      <c r="Q235" s="46"/>
      <c r="R235" s="212"/>
    </row>
    <row r="236" spans="1:18" s="213" customFormat="1" x14ac:dyDescent="0.25">
      <c r="A236" s="212"/>
      <c r="B236" s="216" t="s">
        <v>168</v>
      </c>
      <c r="C236" s="216"/>
      <c r="D236" s="216"/>
      <c r="E236" s="236">
        <v>2500000</v>
      </c>
      <c r="F236" s="236">
        <v>2200000</v>
      </c>
      <c r="G236" s="236">
        <v>2000000</v>
      </c>
      <c r="H236" s="85"/>
      <c r="I236" s="85"/>
      <c r="J236" s="85"/>
      <c r="K236" s="114"/>
      <c r="L236" s="108"/>
      <c r="M236" s="86"/>
      <c r="N236" s="108"/>
      <c r="O236" s="86"/>
      <c r="P236" s="108"/>
      <c r="Q236" s="46"/>
      <c r="R236" s="212"/>
    </row>
    <row r="237" spans="1:18" s="213" customFormat="1" x14ac:dyDescent="0.25">
      <c r="A237" s="212"/>
      <c r="B237" s="85" t="s">
        <v>161</v>
      </c>
      <c r="C237" s="85"/>
      <c r="D237" s="85"/>
      <c r="E237" s="237">
        <v>3</v>
      </c>
      <c r="F237" s="237">
        <v>2.7639999999999998</v>
      </c>
      <c r="G237" s="237">
        <v>2.85</v>
      </c>
      <c r="H237" s="85"/>
      <c r="I237" s="85"/>
      <c r="J237" s="85"/>
      <c r="K237" s="114"/>
      <c r="L237" s="108"/>
      <c r="M237" s="86"/>
      <c r="N237" s="108"/>
      <c r="O237" s="86"/>
      <c r="P237" s="108"/>
      <c r="Q237" s="46"/>
      <c r="R237" s="212"/>
    </row>
    <row r="238" spans="1:18" s="213" customFormat="1" x14ac:dyDescent="0.25">
      <c r="A238" s="212"/>
      <c r="B238" s="216" t="s">
        <v>162</v>
      </c>
      <c r="C238" s="216"/>
      <c r="D238" s="216"/>
      <c r="E238" s="244">
        <v>3.1909999999999998</v>
      </c>
      <c r="F238" s="244">
        <v>2.99</v>
      </c>
      <c r="G238" s="216">
        <v>2.7959999999999998</v>
      </c>
      <c r="H238" s="85"/>
      <c r="I238" s="85"/>
      <c r="J238" s="85"/>
      <c r="K238" s="114"/>
      <c r="L238" s="108"/>
      <c r="M238" s="86"/>
      <c r="N238" s="108"/>
      <c r="O238" s="86"/>
      <c r="P238" s="108"/>
      <c r="Q238" s="46"/>
      <c r="R238" s="212"/>
    </row>
    <row r="239" spans="1:18" s="213" customFormat="1" x14ac:dyDescent="0.25">
      <c r="A239" s="212"/>
      <c r="B239" s="216" t="s">
        <v>163</v>
      </c>
      <c r="C239" s="216"/>
      <c r="D239" s="216"/>
      <c r="E239" s="110">
        <f>(E238-E237)*E236</f>
        <v>477499.99999999959</v>
      </c>
      <c r="F239" s="110">
        <f>(F238-F237)*F236</f>
        <v>497200.00000000093</v>
      </c>
      <c r="G239" s="110">
        <f>(G238-G237)*G236</f>
        <v>-108000.00000000054</v>
      </c>
      <c r="H239" s="85"/>
      <c r="I239" s="85"/>
      <c r="J239" s="85"/>
      <c r="K239" s="114"/>
      <c r="L239" s="108"/>
      <c r="M239" s="86"/>
      <c r="N239" s="108"/>
      <c r="O239" s="86"/>
      <c r="P239" s="108"/>
      <c r="Q239" s="46"/>
      <c r="R239" s="212"/>
    </row>
    <row r="240" spans="1:18" s="213" customFormat="1" x14ac:dyDescent="0.25">
      <c r="A240" s="212"/>
      <c r="B240" s="216" t="s">
        <v>168</v>
      </c>
      <c r="C240" s="216"/>
      <c r="D240" s="216"/>
      <c r="E240" s="236">
        <f>+E236*E238</f>
        <v>7977500</v>
      </c>
      <c r="F240" s="236">
        <f t="shared" ref="F240:G240" si="42">+F236*F238</f>
        <v>6578000.0000000009</v>
      </c>
      <c r="G240" s="236">
        <f t="shared" si="42"/>
        <v>5592000</v>
      </c>
      <c r="H240" s="85"/>
      <c r="I240" s="85"/>
      <c r="J240" s="85"/>
      <c r="K240" s="114"/>
      <c r="L240" s="108"/>
      <c r="M240" s="86"/>
      <c r="N240" s="108"/>
      <c r="O240" s="86"/>
      <c r="P240" s="108"/>
      <c r="Q240" s="46"/>
      <c r="R240" s="212"/>
    </row>
    <row r="241" spans="1:18" s="213" customFormat="1" x14ac:dyDescent="0.25">
      <c r="A241" s="212"/>
      <c r="B241" s="85"/>
      <c r="C241" s="85"/>
      <c r="D241" s="85"/>
      <c r="E241" s="85"/>
      <c r="F241" s="238"/>
      <c r="G241" s="238"/>
      <c r="H241" s="85"/>
      <c r="I241" s="85"/>
      <c r="J241" s="85"/>
      <c r="K241" s="114"/>
      <c r="L241" s="108"/>
      <c r="M241" s="86"/>
      <c r="N241" s="108"/>
      <c r="O241" s="86"/>
      <c r="P241" s="108"/>
      <c r="R241" s="212"/>
    </row>
    <row r="242" spans="1:18" s="213" customFormat="1" x14ac:dyDescent="0.25">
      <c r="A242" s="212"/>
      <c r="B242" s="85" t="s">
        <v>13</v>
      </c>
      <c r="C242" s="85"/>
      <c r="D242" s="85"/>
      <c r="E242" s="85"/>
      <c r="F242" s="238"/>
      <c r="G242" s="238"/>
      <c r="H242" s="85"/>
      <c r="I242" s="85"/>
      <c r="J242" s="85"/>
      <c r="K242" s="114"/>
      <c r="L242" s="108"/>
      <c r="M242" s="86"/>
      <c r="N242" s="108"/>
      <c r="O242" s="86"/>
      <c r="P242" s="108"/>
      <c r="R242" s="212"/>
    </row>
    <row r="243" spans="1:18" s="213" customFormat="1" x14ac:dyDescent="0.25">
      <c r="A243" s="212"/>
      <c r="B243" s="85" t="s">
        <v>396</v>
      </c>
      <c r="C243" s="85"/>
      <c r="D243" s="85"/>
      <c r="E243" s="85"/>
      <c r="F243" s="85"/>
      <c r="G243" s="85"/>
      <c r="H243" s="85"/>
      <c r="I243" s="85"/>
      <c r="J243" s="85"/>
      <c r="K243" s="114"/>
      <c r="L243" s="108"/>
      <c r="M243" s="86"/>
      <c r="N243" s="108"/>
      <c r="O243" s="86"/>
      <c r="P243" s="108"/>
      <c r="Q243" s="46"/>
      <c r="R243" s="212"/>
    </row>
    <row r="244" spans="1:18" s="213" customFormat="1" x14ac:dyDescent="0.25">
      <c r="A244" s="85"/>
      <c r="B244" s="85" t="s">
        <v>397</v>
      </c>
      <c r="C244" s="85"/>
      <c r="D244" s="85"/>
      <c r="E244" s="85"/>
      <c r="F244" s="85"/>
      <c r="G244" s="85"/>
      <c r="H244" s="85"/>
      <c r="I244" s="85"/>
      <c r="J244" s="85"/>
      <c r="K244" s="114"/>
      <c r="L244" s="108"/>
      <c r="M244" s="86"/>
      <c r="N244" s="108"/>
      <c r="O244" s="86"/>
      <c r="P244" s="108"/>
      <c r="Q244" s="46"/>
      <c r="R244" s="85"/>
    </row>
    <row r="245" spans="1:18" x14ac:dyDescent="0.25">
      <c r="A245" s="87"/>
      <c r="B245" s="111" t="s">
        <v>97</v>
      </c>
      <c r="C245" s="87"/>
      <c r="D245" s="87"/>
      <c r="E245" s="87"/>
      <c r="F245" s="87"/>
      <c r="G245" s="87"/>
      <c r="H245" s="87">
        <f t="shared" ref="H245:H246" si="43">IF(A245=0,0,1)</f>
        <v>0</v>
      </c>
      <c r="I245" s="87"/>
      <c r="J245" s="87"/>
      <c r="K245" s="115">
        <v>6000000</v>
      </c>
      <c r="L245" s="107"/>
      <c r="M245" s="89">
        <v>6000000</v>
      </c>
      <c r="N245" s="107"/>
      <c r="O245" s="89">
        <v>6000000</v>
      </c>
      <c r="P245" s="107"/>
      <c r="R245" s="87" t="s">
        <v>96</v>
      </c>
    </row>
    <row r="246" spans="1:18" x14ac:dyDescent="0.25">
      <c r="A246" s="87"/>
      <c r="B246" s="111" t="s">
        <v>171</v>
      </c>
      <c r="C246" s="87"/>
      <c r="D246" s="87"/>
      <c r="E246" s="87"/>
      <c r="F246" s="87"/>
      <c r="G246" s="87"/>
      <c r="H246" s="87">
        <f t="shared" si="43"/>
        <v>0</v>
      </c>
      <c r="I246" s="87"/>
      <c r="J246" s="87"/>
      <c r="K246" s="115"/>
      <c r="L246" s="107">
        <f>+K245</f>
        <v>6000000</v>
      </c>
      <c r="M246" s="89"/>
      <c r="N246" s="107">
        <f>+M245</f>
        <v>6000000</v>
      </c>
      <c r="O246" s="89"/>
      <c r="P246" s="107">
        <f>+O245</f>
        <v>6000000</v>
      </c>
      <c r="R246" s="87" t="s">
        <v>181</v>
      </c>
    </row>
    <row r="247" spans="1:18" x14ac:dyDescent="0.25">
      <c r="A247" s="87"/>
      <c r="B247" s="111"/>
      <c r="C247" s="87"/>
      <c r="D247" s="87"/>
      <c r="E247" s="87"/>
      <c r="F247" s="87"/>
      <c r="G247" s="87"/>
      <c r="H247" s="87"/>
      <c r="I247" s="87"/>
      <c r="J247" s="87"/>
      <c r="K247" s="115"/>
      <c r="L247" s="107"/>
      <c r="M247" s="89"/>
      <c r="N247" s="107"/>
      <c r="O247" s="89"/>
      <c r="P247" s="107"/>
      <c r="R247" s="87"/>
    </row>
    <row r="248" spans="1:18" x14ac:dyDescent="0.25">
      <c r="A248" s="87"/>
      <c r="B248" s="85" t="s">
        <v>149</v>
      </c>
      <c r="C248" s="87"/>
      <c r="D248" s="87"/>
      <c r="E248" s="87"/>
      <c r="F248" s="87"/>
      <c r="G248" s="87"/>
      <c r="H248" s="87"/>
      <c r="I248" s="87"/>
      <c r="J248" s="87"/>
      <c r="K248" s="115"/>
      <c r="L248" s="107"/>
      <c r="M248" s="89"/>
      <c r="N248" s="107"/>
      <c r="O248" s="89"/>
      <c r="P248" s="107"/>
      <c r="R248" s="87"/>
    </row>
    <row r="249" spans="1:18" x14ac:dyDescent="0.25">
      <c r="A249" s="87"/>
      <c r="B249" s="85" t="s">
        <v>394</v>
      </c>
      <c r="C249" s="87"/>
      <c r="D249" s="87"/>
      <c r="E249" s="87"/>
      <c r="F249" s="87"/>
      <c r="G249" s="87"/>
      <c r="H249" s="87"/>
      <c r="I249" s="87"/>
      <c r="J249" s="87"/>
      <c r="K249" s="115"/>
      <c r="L249" s="107"/>
      <c r="M249" s="89"/>
      <c r="N249" s="107"/>
      <c r="O249" s="89"/>
      <c r="P249" s="107"/>
      <c r="R249" s="87"/>
    </row>
    <row r="250" spans="1:18" x14ac:dyDescent="0.25">
      <c r="A250" s="85"/>
      <c r="B250" s="85" t="s">
        <v>395</v>
      </c>
      <c r="C250" s="87"/>
      <c r="D250" s="87"/>
      <c r="E250" s="87"/>
      <c r="F250" s="87"/>
      <c r="G250" s="87"/>
      <c r="H250" s="87"/>
      <c r="I250" s="87"/>
      <c r="J250" s="87"/>
      <c r="K250" s="115"/>
      <c r="L250" s="107"/>
      <c r="M250" s="89"/>
      <c r="N250" s="107"/>
      <c r="O250" s="89"/>
      <c r="P250" s="107"/>
      <c r="R250" s="85"/>
    </row>
    <row r="251" spans="1:18" x14ac:dyDescent="0.25">
      <c r="A251" s="87"/>
      <c r="B251" s="111" t="s">
        <v>176</v>
      </c>
      <c r="C251" s="87"/>
      <c r="D251" s="87"/>
      <c r="E251" s="87"/>
      <c r="F251" s="87"/>
      <c r="G251" s="87"/>
      <c r="H251" s="87">
        <f t="shared" ref="H251:H256" si="44">IF(A251=0,0,1)</f>
        <v>0</v>
      </c>
      <c r="I251" s="87"/>
      <c r="J251" s="87"/>
      <c r="K251" s="115">
        <f>+Matriz!C27</f>
        <v>10321008</v>
      </c>
      <c r="L251" s="107"/>
      <c r="M251" s="89">
        <f>+Matriz!D27</f>
        <v>10321008</v>
      </c>
      <c r="N251" s="107"/>
      <c r="O251" s="89">
        <v>0</v>
      </c>
      <c r="P251" s="107"/>
      <c r="R251" s="87" t="s">
        <v>175</v>
      </c>
    </row>
    <row r="252" spans="1:18" x14ac:dyDescent="0.25">
      <c r="A252" s="87"/>
      <c r="B252" s="111" t="s">
        <v>173</v>
      </c>
      <c r="C252" s="87"/>
      <c r="D252" s="87"/>
      <c r="E252" s="87"/>
      <c r="F252" s="87"/>
      <c r="G252" s="87"/>
      <c r="H252" s="87">
        <f t="shared" si="44"/>
        <v>0</v>
      </c>
      <c r="I252" s="87"/>
      <c r="J252" s="87"/>
      <c r="K252" s="115"/>
      <c r="L252" s="107">
        <f>+K251</f>
        <v>10321008</v>
      </c>
      <c r="M252" s="89"/>
      <c r="N252" s="107">
        <f>+M251</f>
        <v>10321008</v>
      </c>
      <c r="O252" s="89"/>
      <c r="P252" s="107">
        <f>+O251</f>
        <v>0</v>
      </c>
      <c r="R252" s="87" t="s">
        <v>80</v>
      </c>
    </row>
    <row r="253" spans="1:18" x14ac:dyDescent="0.25">
      <c r="A253" s="85"/>
      <c r="B253" s="85"/>
      <c r="C253" s="87"/>
      <c r="D253" s="87"/>
      <c r="E253" s="87"/>
      <c r="F253" s="87"/>
      <c r="G253" s="87"/>
      <c r="H253" s="87"/>
      <c r="I253" s="87"/>
      <c r="J253" s="87"/>
      <c r="K253" s="115"/>
      <c r="L253" s="107"/>
      <c r="M253" s="89"/>
      <c r="N253" s="107"/>
      <c r="O253" s="89"/>
      <c r="P253" s="107"/>
      <c r="R253" s="85"/>
    </row>
    <row r="254" spans="1:18" s="213" customFormat="1" x14ac:dyDescent="0.25">
      <c r="A254" s="87"/>
      <c r="B254" s="111" t="s">
        <v>99</v>
      </c>
      <c r="C254" s="85"/>
      <c r="D254" s="85"/>
      <c r="E254" s="85"/>
      <c r="F254" s="85"/>
      <c r="G254" s="85"/>
      <c r="H254" s="87">
        <f t="shared" si="44"/>
        <v>0</v>
      </c>
      <c r="I254" s="85"/>
      <c r="J254" s="85"/>
      <c r="K254" s="115">
        <f>+M255</f>
        <v>2064201.6</v>
      </c>
      <c r="L254" s="107"/>
      <c r="M254" s="89">
        <v>0</v>
      </c>
      <c r="N254" s="107"/>
      <c r="O254" s="89"/>
      <c r="P254" s="107"/>
      <c r="Q254" s="46"/>
      <c r="R254" s="87" t="s">
        <v>98</v>
      </c>
    </row>
    <row r="255" spans="1:18" x14ac:dyDescent="0.25">
      <c r="A255" s="87"/>
      <c r="B255" s="111" t="s">
        <v>167</v>
      </c>
      <c r="C255" s="87"/>
      <c r="D255" s="87"/>
      <c r="E255" s="87"/>
      <c r="F255" s="87"/>
      <c r="G255" s="87"/>
      <c r="H255" s="87">
        <f t="shared" si="44"/>
        <v>0</v>
      </c>
      <c r="I255" s="87"/>
      <c r="J255" s="87"/>
      <c r="K255" s="115">
        <f>+L256-K254</f>
        <v>1548151.1999999997</v>
      </c>
      <c r="L255" s="107"/>
      <c r="M255" s="89">
        <f>+N256</f>
        <v>2064201.6</v>
      </c>
      <c r="N255" s="107"/>
      <c r="O255" s="89"/>
      <c r="P255" s="107"/>
      <c r="R255" s="87" t="s">
        <v>104</v>
      </c>
    </row>
    <row r="256" spans="1:18" x14ac:dyDescent="0.25">
      <c r="A256" s="87"/>
      <c r="B256" s="111" t="s">
        <v>176</v>
      </c>
      <c r="C256" s="87"/>
      <c r="D256" s="87"/>
      <c r="E256" s="87"/>
      <c r="F256" s="87"/>
      <c r="G256" s="87"/>
      <c r="H256" s="87">
        <f t="shared" si="44"/>
        <v>0</v>
      </c>
      <c r="I256" s="87"/>
      <c r="J256" s="87"/>
      <c r="K256" s="115"/>
      <c r="L256" s="107">
        <f>-F259</f>
        <v>3612352.8</v>
      </c>
      <c r="M256" s="89"/>
      <c r="N256" s="107">
        <f>-G259</f>
        <v>2064201.6</v>
      </c>
      <c r="O256" s="89"/>
      <c r="P256" s="107"/>
      <c r="R256" s="87" t="s">
        <v>175</v>
      </c>
    </row>
    <row r="257" spans="1:18" x14ac:dyDescent="0.25">
      <c r="A257" s="214"/>
      <c r="B257" s="87"/>
      <c r="C257" s="87"/>
      <c r="D257" s="87"/>
      <c r="E257" s="87"/>
      <c r="F257" s="245" t="s">
        <v>400</v>
      </c>
      <c r="G257" s="245" t="s">
        <v>403</v>
      </c>
      <c r="H257" s="87"/>
      <c r="I257" s="87"/>
      <c r="J257" s="87"/>
      <c r="K257" s="115"/>
      <c r="L257" s="107"/>
      <c r="M257" s="89"/>
      <c r="N257" s="107"/>
      <c r="O257" s="89"/>
      <c r="P257" s="107"/>
      <c r="R257" s="214"/>
    </row>
    <row r="258" spans="1:18" x14ac:dyDescent="0.25">
      <c r="A258" s="214"/>
      <c r="B258" s="85" t="s">
        <v>211</v>
      </c>
      <c r="C258" s="87"/>
      <c r="D258" s="85"/>
      <c r="E258" s="85"/>
      <c r="F258" s="228">
        <v>10321008</v>
      </c>
      <c r="G258" s="228">
        <v>10321008</v>
      </c>
      <c r="H258" s="87"/>
      <c r="I258" s="87"/>
      <c r="J258" s="87"/>
      <c r="K258" s="115"/>
      <c r="L258" s="107"/>
      <c r="M258" s="89"/>
      <c r="N258" s="107"/>
      <c r="O258" s="89"/>
      <c r="P258" s="107"/>
      <c r="R258" s="214"/>
    </row>
    <row r="259" spans="1:18" x14ac:dyDescent="0.25">
      <c r="A259" s="214"/>
      <c r="B259" s="87" t="s">
        <v>212</v>
      </c>
      <c r="C259" s="87"/>
      <c r="D259" s="87"/>
      <c r="E259" s="87"/>
      <c r="F259" s="246">
        <f>-F258*35%</f>
        <v>-3612352.8</v>
      </c>
      <c r="G259" s="246">
        <f>-G258*20%</f>
        <v>-2064201.6</v>
      </c>
      <c r="H259" s="87"/>
      <c r="I259" s="87"/>
      <c r="J259" s="87"/>
      <c r="K259" s="115"/>
      <c r="L259" s="107"/>
      <c r="M259" s="89"/>
      <c r="N259" s="107"/>
      <c r="O259" s="89"/>
      <c r="P259" s="107"/>
      <c r="R259" s="214"/>
    </row>
    <row r="260" spans="1:18" x14ac:dyDescent="0.25">
      <c r="A260" s="214"/>
      <c r="B260" s="85" t="s">
        <v>155</v>
      </c>
      <c r="C260" s="85"/>
      <c r="D260" s="85"/>
      <c r="E260" s="85"/>
      <c r="F260" s="236">
        <f>+F258+F259</f>
        <v>6708655.2000000002</v>
      </c>
      <c r="G260" s="236">
        <f>+G258+G259</f>
        <v>8256806.4000000004</v>
      </c>
      <c r="H260" s="87"/>
      <c r="I260" s="87"/>
      <c r="J260" s="87"/>
      <c r="K260" s="115"/>
      <c r="L260" s="107"/>
      <c r="M260" s="89"/>
      <c r="N260" s="107"/>
      <c r="O260" s="89"/>
      <c r="P260" s="107"/>
      <c r="R260" s="214"/>
    </row>
    <row r="261" spans="1:18" x14ac:dyDescent="0.25">
      <c r="A261" s="214"/>
      <c r="B261" s="87"/>
      <c r="C261" s="87"/>
      <c r="D261" s="87"/>
      <c r="E261" s="87"/>
      <c r="F261" s="87"/>
      <c r="G261" s="87"/>
      <c r="H261" s="87"/>
      <c r="I261" s="87"/>
      <c r="J261" s="87"/>
      <c r="K261" s="115"/>
      <c r="L261" s="107"/>
      <c r="M261" s="89"/>
      <c r="N261" s="107"/>
      <c r="O261" s="89"/>
      <c r="P261" s="107"/>
      <c r="R261" s="214"/>
    </row>
    <row r="262" spans="1:18" x14ac:dyDescent="0.25">
      <c r="A262" s="214"/>
      <c r="B262" s="85" t="s">
        <v>14</v>
      </c>
      <c r="C262" s="87"/>
      <c r="D262" s="87"/>
      <c r="E262" s="87"/>
      <c r="F262" s="87"/>
      <c r="G262" s="87"/>
      <c r="H262" s="87"/>
      <c r="I262" s="87"/>
      <c r="J262" s="87"/>
      <c r="K262" s="115"/>
      <c r="L262" s="107"/>
      <c r="M262" s="89"/>
      <c r="N262" s="107"/>
      <c r="O262" s="89"/>
      <c r="P262" s="107"/>
      <c r="R262" s="214"/>
    </row>
    <row r="263" spans="1:18" x14ac:dyDescent="0.25">
      <c r="A263" s="214"/>
      <c r="B263" s="85" t="s">
        <v>35</v>
      </c>
      <c r="C263" s="87"/>
      <c r="D263" s="87"/>
      <c r="E263" s="87"/>
      <c r="F263" s="87"/>
      <c r="G263" s="87"/>
      <c r="H263" s="87"/>
      <c r="I263" s="87"/>
      <c r="J263" s="87"/>
      <c r="K263" s="115"/>
      <c r="L263" s="107"/>
      <c r="M263" s="89"/>
      <c r="N263" s="107"/>
      <c r="O263" s="89"/>
      <c r="P263" s="107"/>
      <c r="R263" s="214"/>
    </row>
    <row r="264" spans="1:18" x14ac:dyDescent="0.25">
      <c r="A264" s="87"/>
      <c r="B264" s="111" t="s">
        <v>99</v>
      </c>
      <c r="C264" s="87"/>
      <c r="D264" s="87"/>
      <c r="E264" s="87"/>
      <c r="F264" s="87"/>
      <c r="G264" s="87"/>
      <c r="H264" s="87">
        <f t="shared" ref="H264:H266" si="45">IF(A264=0,0,1)</f>
        <v>0</v>
      </c>
      <c r="I264" s="87"/>
      <c r="J264" s="87"/>
      <c r="K264" s="115">
        <f>+M264+M265</f>
        <v>1100000</v>
      </c>
      <c r="L264" s="107"/>
      <c r="M264" s="89">
        <f>+O264</f>
        <v>900000</v>
      </c>
      <c r="N264" s="107"/>
      <c r="O264" s="89">
        <f>+P266</f>
        <v>900000</v>
      </c>
      <c r="P264" s="107"/>
      <c r="R264" s="87" t="s">
        <v>98</v>
      </c>
    </row>
    <row r="265" spans="1:18" x14ac:dyDescent="0.25">
      <c r="A265" s="87"/>
      <c r="B265" s="111" t="s">
        <v>107</v>
      </c>
      <c r="C265" s="87"/>
      <c r="D265" s="87"/>
      <c r="E265" s="87"/>
      <c r="F265" s="87"/>
      <c r="G265" s="87"/>
      <c r="H265" s="87">
        <f t="shared" si="45"/>
        <v>0</v>
      </c>
      <c r="I265" s="87"/>
      <c r="J265" s="87"/>
      <c r="K265" s="115">
        <f>+F271</f>
        <v>400000</v>
      </c>
      <c r="L265" s="107"/>
      <c r="M265" s="89">
        <f>+N266-M264</f>
        <v>200000</v>
      </c>
      <c r="N265" s="107"/>
      <c r="O265" s="89">
        <v>0</v>
      </c>
      <c r="P265" s="107"/>
      <c r="R265" s="87" t="s">
        <v>106</v>
      </c>
    </row>
    <row r="266" spans="1:18" x14ac:dyDescent="0.25">
      <c r="A266" s="87"/>
      <c r="B266" s="111" t="s">
        <v>93</v>
      </c>
      <c r="C266" s="87"/>
      <c r="D266" s="87"/>
      <c r="E266" s="87"/>
      <c r="F266" s="87"/>
      <c r="G266" s="87"/>
      <c r="H266" s="87">
        <f t="shared" si="45"/>
        <v>0</v>
      </c>
      <c r="I266" s="87"/>
      <c r="J266" s="87"/>
      <c r="K266" s="115"/>
      <c r="L266" s="107">
        <f>+F272</f>
        <v>1500000</v>
      </c>
      <c r="M266" s="89"/>
      <c r="N266" s="107">
        <f>+G272</f>
        <v>1100000</v>
      </c>
      <c r="O266" s="89"/>
      <c r="P266" s="107">
        <f>+G270</f>
        <v>900000</v>
      </c>
      <c r="R266" s="87" t="s">
        <v>92</v>
      </c>
    </row>
    <row r="267" spans="1:18" x14ac:dyDescent="0.25">
      <c r="A267" s="214"/>
      <c r="B267" s="87"/>
      <c r="C267" s="87"/>
      <c r="D267" s="87"/>
      <c r="E267" s="87"/>
      <c r="F267" s="87"/>
      <c r="G267" s="87"/>
      <c r="H267" s="87"/>
      <c r="I267" s="87"/>
      <c r="J267" s="87"/>
      <c r="K267" s="115"/>
      <c r="L267" s="107"/>
      <c r="M267" s="89"/>
      <c r="N267" s="107"/>
      <c r="O267" s="89"/>
      <c r="P267" s="107"/>
      <c r="R267" s="214"/>
    </row>
    <row r="268" spans="1:18" x14ac:dyDescent="0.25">
      <c r="A268" s="214"/>
      <c r="B268" s="87"/>
      <c r="C268" s="240"/>
      <c r="D268" s="240"/>
      <c r="E268" s="240"/>
      <c r="F268" s="241">
        <v>2025</v>
      </c>
      <c r="G268" s="241">
        <v>2024</v>
      </c>
      <c r="H268" s="87"/>
      <c r="I268" s="87"/>
      <c r="J268" s="87"/>
      <c r="K268" s="115"/>
      <c r="L268" s="107"/>
      <c r="M268" s="89"/>
      <c r="N268" s="107"/>
      <c r="O268" s="89"/>
      <c r="P268" s="107"/>
      <c r="R268" s="214"/>
    </row>
    <row r="269" spans="1:18" x14ac:dyDescent="0.25">
      <c r="A269" s="214"/>
      <c r="B269" s="87"/>
      <c r="C269" s="242"/>
      <c r="D269" s="242"/>
      <c r="E269" s="242"/>
      <c r="F269" s="243" t="s">
        <v>127</v>
      </c>
      <c r="G269" s="243" t="s">
        <v>127</v>
      </c>
      <c r="H269" s="87"/>
      <c r="I269" s="87"/>
      <c r="J269" s="87"/>
      <c r="K269" s="115"/>
      <c r="L269" s="107"/>
      <c r="M269" s="89"/>
      <c r="N269" s="107"/>
      <c r="O269" s="89"/>
      <c r="P269" s="107"/>
      <c r="R269" s="214"/>
    </row>
    <row r="270" spans="1:18" x14ac:dyDescent="0.25">
      <c r="A270" s="214"/>
      <c r="B270" s="87"/>
      <c r="C270" s="216" t="s">
        <v>123</v>
      </c>
      <c r="D270" s="216"/>
      <c r="E270" s="109"/>
      <c r="F270" s="236">
        <f>+G272</f>
        <v>1100000</v>
      </c>
      <c r="G270" s="236">
        <v>900000</v>
      </c>
      <c r="H270" s="87"/>
      <c r="I270" s="87"/>
      <c r="J270" s="87"/>
      <c r="K270" s="115"/>
      <c r="L270" s="107"/>
      <c r="M270" s="89"/>
      <c r="N270" s="107"/>
      <c r="O270" s="89"/>
      <c r="P270" s="107"/>
      <c r="R270" s="214"/>
    </row>
    <row r="271" spans="1:18" x14ac:dyDescent="0.25">
      <c r="A271" s="214"/>
      <c r="B271" s="87"/>
      <c r="C271" s="247" t="s">
        <v>124</v>
      </c>
      <c r="D271" s="247"/>
      <c r="E271" s="247"/>
      <c r="F271" s="248">
        <v>400000</v>
      </c>
      <c r="G271" s="248">
        <v>200000</v>
      </c>
      <c r="H271" s="87"/>
      <c r="I271" s="87"/>
      <c r="J271" s="87"/>
      <c r="K271" s="115"/>
      <c r="L271" s="107"/>
      <c r="M271" s="89"/>
      <c r="N271" s="107"/>
      <c r="O271" s="89"/>
      <c r="P271" s="107"/>
      <c r="R271" s="214"/>
    </row>
    <row r="272" spans="1:18" x14ac:dyDescent="0.25">
      <c r="A272" s="214"/>
      <c r="B272" s="87"/>
      <c r="C272" s="216" t="s">
        <v>126</v>
      </c>
      <c r="D272" s="216"/>
      <c r="E272" s="109"/>
      <c r="F272" s="236">
        <f>SUM(F270:F271)</f>
        <v>1500000</v>
      </c>
      <c r="G272" s="236">
        <f>SUM(G270:G271)</f>
        <v>1100000</v>
      </c>
      <c r="H272" s="87"/>
      <c r="I272" s="87"/>
      <c r="J272" s="87"/>
      <c r="K272" s="115"/>
      <c r="L272" s="107"/>
      <c r="M272" s="89"/>
      <c r="N272" s="107"/>
      <c r="O272" s="89"/>
      <c r="P272" s="107"/>
      <c r="R272" s="214"/>
    </row>
    <row r="273" spans="1:18" x14ac:dyDescent="0.25">
      <c r="A273" s="214"/>
      <c r="B273" s="87"/>
      <c r="C273" s="85"/>
      <c r="D273" s="85"/>
      <c r="E273" s="87"/>
      <c r="F273" s="87"/>
      <c r="G273" s="228"/>
      <c r="H273" s="228"/>
      <c r="I273" s="87"/>
      <c r="J273" s="87"/>
      <c r="K273" s="115"/>
      <c r="L273" s="107"/>
      <c r="M273" s="89"/>
      <c r="N273" s="107"/>
      <c r="O273" s="89"/>
      <c r="P273" s="107"/>
      <c r="R273" s="214"/>
    </row>
    <row r="274" spans="1:18" x14ac:dyDescent="0.25">
      <c r="A274" s="214"/>
      <c r="B274" s="85" t="s">
        <v>14</v>
      </c>
      <c r="C274" s="85"/>
      <c r="D274" s="85"/>
      <c r="E274" s="87"/>
      <c r="F274" s="87"/>
      <c r="G274" s="228"/>
      <c r="H274" s="228"/>
      <c r="I274" s="87"/>
      <c r="J274" s="87"/>
      <c r="K274" s="115"/>
      <c r="L274" s="107"/>
      <c r="M274" s="89"/>
      <c r="N274" s="107"/>
      <c r="O274" s="89"/>
      <c r="P274" s="107"/>
      <c r="R274" s="214"/>
    </row>
    <row r="275" spans="1:18" x14ac:dyDescent="0.25">
      <c r="A275" s="214"/>
      <c r="B275" s="85" t="s">
        <v>40</v>
      </c>
      <c r="C275" s="87"/>
      <c r="D275" s="87"/>
      <c r="E275" s="87"/>
      <c r="F275" s="87"/>
      <c r="G275" s="87"/>
      <c r="H275" s="87"/>
      <c r="I275" s="87"/>
      <c r="J275" s="87"/>
      <c r="K275" s="115"/>
      <c r="L275" s="107"/>
      <c r="M275" s="89"/>
      <c r="N275" s="107"/>
      <c r="O275" s="89"/>
      <c r="P275" s="107"/>
      <c r="R275" s="214"/>
    </row>
    <row r="276" spans="1:18" x14ac:dyDescent="0.25">
      <c r="A276" s="87"/>
      <c r="B276" s="111" t="s">
        <v>137</v>
      </c>
      <c r="C276" s="87"/>
      <c r="D276" s="87"/>
      <c r="E276" s="87"/>
      <c r="F276" s="87"/>
      <c r="G276" s="87"/>
      <c r="H276" s="87">
        <f t="shared" ref="H276:H277" si="46">IF(A276=0,0,1)</f>
        <v>0</v>
      </c>
      <c r="I276" s="87"/>
      <c r="J276" s="87"/>
      <c r="K276" s="115">
        <f>+M276</f>
        <v>1200000</v>
      </c>
      <c r="L276" s="107"/>
      <c r="M276" s="89">
        <f>+O276</f>
        <v>1200000</v>
      </c>
      <c r="N276" s="107"/>
      <c r="O276" s="89">
        <f>+G294</f>
        <v>1200000</v>
      </c>
      <c r="P276" s="107"/>
      <c r="R276" s="87" t="s">
        <v>79</v>
      </c>
    </row>
    <row r="277" spans="1:18" x14ac:dyDescent="0.25">
      <c r="A277" s="87"/>
      <c r="B277" s="111" t="s">
        <v>93</v>
      </c>
      <c r="C277" s="87"/>
      <c r="D277" s="87"/>
      <c r="E277" s="87"/>
      <c r="F277" s="87"/>
      <c r="G277" s="87"/>
      <c r="H277" s="87">
        <f t="shared" si="46"/>
        <v>0</v>
      </c>
      <c r="I277" s="87"/>
      <c r="J277" s="87"/>
      <c r="K277" s="115"/>
      <c r="L277" s="107">
        <f>+K276</f>
        <v>1200000</v>
      </c>
      <c r="M277" s="89"/>
      <c r="N277" s="107">
        <f>+M276</f>
        <v>1200000</v>
      </c>
      <c r="O277" s="89"/>
      <c r="P277" s="107">
        <f>+O276</f>
        <v>1200000</v>
      </c>
      <c r="R277" s="87" t="s">
        <v>92</v>
      </c>
    </row>
    <row r="278" spans="1:18" x14ac:dyDescent="0.25">
      <c r="A278" s="87"/>
      <c r="B278" s="111"/>
      <c r="C278" s="87"/>
      <c r="D278" s="87"/>
      <c r="E278" s="87"/>
      <c r="F278" s="87"/>
      <c r="G278" s="87"/>
      <c r="H278" s="87"/>
      <c r="I278" s="87"/>
      <c r="J278" s="87"/>
      <c r="K278" s="115"/>
      <c r="L278" s="107"/>
      <c r="M278" s="89"/>
      <c r="N278" s="107"/>
      <c r="O278" s="89"/>
      <c r="P278" s="107"/>
      <c r="R278" s="87"/>
    </row>
    <row r="279" spans="1:18" x14ac:dyDescent="0.25">
      <c r="A279" s="87"/>
      <c r="B279" s="111" t="s">
        <v>99</v>
      </c>
      <c r="C279" s="87"/>
      <c r="D279" s="87"/>
      <c r="E279" s="87"/>
      <c r="F279" s="87"/>
      <c r="G279" s="87"/>
      <c r="H279" s="87">
        <f t="shared" ref="H279:H281" si="47">IF(A279=0,0,1)</f>
        <v>0</v>
      </c>
      <c r="I279" s="87"/>
      <c r="J279" s="87"/>
      <c r="K279" s="115">
        <f>+M279+M280</f>
        <v>240000</v>
      </c>
      <c r="L279" s="107"/>
      <c r="M279" s="89">
        <f>+O279</f>
        <v>120000</v>
      </c>
      <c r="N279" s="107"/>
      <c r="O279" s="89">
        <f>+P281</f>
        <v>120000</v>
      </c>
      <c r="P279" s="107"/>
      <c r="R279" s="87" t="s">
        <v>98</v>
      </c>
    </row>
    <row r="280" spans="1:18" x14ac:dyDescent="0.25">
      <c r="B280" s="239" t="s">
        <v>167</v>
      </c>
      <c r="C280" s="87"/>
      <c r="D280" s="87"/>
      <c r="E280" s="87"/>
      <c r="F280" s="87"/>
      <c r="G280" s="87"/>
      <c r="H280" s="87">
        <f t="shared" si="47"/>
        <v>0</v>
      </c>
      <c r="I280" s="87"/>
      <c r="J280" s="87"/>
      <c r="K280" s="115">
        <f>+L281-K279</f>
        <v>120000</v>
      </c>
      <c r="L280" s="107"/>
      <c r="M280" s="89">
        <f>+N281-M279</f>
        <v>120000</v>
      </c>
      <c r="N280" s="107"/>
      <c r="O280" s="89">
        <v>0</v>
      </c>
      <c r="P280" s="107"/>
      <c r="R280" s="33" t="s">
        <v>104</v>
      </c>
    </row>
    <row r="281" spans="1:18" x14ac:dyDescent="0.25">
      <c r="A281" s="87"/>
      <c r="B281" s="111" t="s">
        <v>137</v>
      </c>
      <c r="C281" s="87"/>
      <c r="D281" s="87"/>
      <c r="E281" s="87"/>
      <c r="F281" s="87"/>
      <c r="G281" s="87"/>
      <c r="H281" s="87">
        <f t="shared" si="47"/>
        <v>0</v>
      </c>
      <c r="I281" s="87"/>
      <c r="J281" s="87"/>
      <c r="K281" s="115"/>
      <c r="L281" s="107">
        <f>+E290</f>
        <v>360000</v>
      </c>
      <c r="M281" s="89"/>
      <c r="N281" s="107">
        <f>+F290</f>
        <v>240000</v>
      </c>
      <c r="O281" s="89"/>
      <c r="P281" s="107">
        <f>+G290</f>
        <v>120000</v>
      </c>
      <c r="R281" s="87" t="s">
        <v>79</v>
      </c>
    </row>
    <row r="282" spans="1:18" x14ac:dyDescent="0.25">
      <c r="A282" s="87"/>
      <c r="B282" s="111"/>
      <c r="C282" s="87"/>
      <c r="D282" s="87"/>
      <c r="E282" s="87"/>
      <c r="F282" s="87"/>
      <c r="G282" s="87"/>
      <c r="H282" s="87"/>
      <c r="I282" s="87"/>
      <c r="J282" s="87"/>
      <c r="K282" s="115"/>
      <c r="L282" s="107"/>
      <c r="M282" s="89"/>
      <c r="N282" s="107"/>
      <c r="O282" s="89"/>
      <c r="P282" s="107"/>
      <c r="R282" s="87"/>
    </row>
    <row r="283" spans="1:18" x14ac:dyDescent="0.25">
      <c r="A283" s="87"/>
      <c r="B283" s="111" t="s">
        <v>99</v>
      </c>
      <c r="C283" s="87"/>
      <c r="D283" s="87"/>
      <c r="E283" s="87"/>
      <c r="F283" s="87"/>
      <c r="G283" s="87"/>
      <c r="H283" s="87">
        <f t="shared" ref="H283:H285" si="48">IF(A283=0,0,1)</f>
        <v>0</v>
      </c>
      <c r="I283" s="87"/>
      <c r="J283" s="87"/>
      <c r="K283" s="115">
        <f>+M283+M284</f>
        <v>42000</v>
      </c>
      <c r="L283" s="107"/>
      <c r="M283" s="89">
        <f>+O283</f>
        <v>20000</v>
      </c>
      <c r="N283" s="107"/>
      <c r="O283" s="89">
        <f>+G295</f>
        <v>20000</v>
      </c>
      <c r="P283" s="107"/>
      <c r="R283" s="87" t="s">
        <v>98</v>
      </c>
    </row>
    <row r="284" spans="1:18" x14ac:dyDescent="0.25">
      <c r="A284" s="87"/>
      <c r="B284" s="111" t="s">
        <v>164</v>
      </c>
      <c r="C284" s="87"/>
      <c r="D284" s="87"/>
      <c r="E284" s="87"/>
      <c r="F284" s="87"/>
      <c r="G284" s="87"/>
      <c r="H284" s="87">
        <f t="shared" si="48"/>
        <v>0</v>
      </c>
      <c r="I284" s="87"/>
      <c r="J284" s="87"/>
      <c r="K284" s="115">
        <f>+E295</f>
        <v>25000</v>
      </c>
      <c r="L284" s="107"/>
      <c r="M284" s="89">
        <f>+F295</f>
        <v>22000</v>
      </c>
      <c r="N284" s="107"/>
      <c r="O284" s="89"/>
      <c r="P284" s="107"/>
      <c r="R284" s="87" t="s">
        <v>115</v>
      </c>
    </row>
    <row r="285" spans="1:18" x14ac:dyDescent="0.25">
      <c r="A285" s="87"/>
      <c r="B285" s="111" t="s">
        <v>93</v>
      </c>
      <c r="C285" s="87"/>
      <c r="D285" s="87"/>
      <c r="E285" s="87"/>
      <c r="F285" s="87"/>
      <c r="G285" s="87"/>
      <c r="H285" s="87">
        <f t="shared" si="48"/>
        <v>0</v>
      </c>
      <c r="I285" s="87"/>
      <c r="J285" s="87"/>
      <c r="K285" s="115"/>
      <c r="L285" s="107">
        <f>+K283+K284</f>
        <v>67000</v>
      </c>
      <c r="M285" s="89"/>
      <c r="N285" s="107">
        <f>+M283+M284</f>
        <v>42000</v>
      </c>
      <c r="O285" s="89"/>
      <c r="P285" s="107">
        <f>+O283</f>
        <v>20000</v>
      </c>
      <c r="R285" s="87" t="s">
        <v>92</v>
      </c>
    </row>
    <row r="286" spans="1:18" x14ac:dyDescent="0.25">
      <c r="A286" s="212"/>
      <c r="B286" s="87"/>
      <c r="C286" s="87"/>
      <c r="D286" s="87"/>
      <c r="E286" s="87"/>
      <c r="F286" s="87"/>
      <c r="G286" s="87"/>
      <c r="H286" s="87"/>
      <c r="I286" s="87"/>
      <c r="J286" s="87"/>
      <c r="K286" s="115"/>
      <c r="L286" s="107"/>
      <c r="M286" s="89"/>
      <c r="N286" s="107"/>
      <c r="O286" s="89"/>
      <c r="P286" s="107"/>
      <c r="R286" s="212"/>
    </row>
    <row r="287" spans="1:18" x14ac:dyDescent="0.25">
      <c r="A287" s="212"/>
      <c r="B287" s="249"/>
      <c r="C287" s="249"/>
      <c r="D287" s="240"/>
      <c r="E287" s="241">
        <v>2025</v>
      </c>
      <c r="F287" s="241">
        <v>2024</v>
      </c>
      <c r="G287" s="241">
        <v>2023</v>
      </c>
      <c r="H287" s="87"/>
      <c r="I287" s="87"/>
      <c r="J287" s="87"/>
      <c r="K287" s="115"/>
      <c r="L287" s="107"/>
      <c r="M287" s="89"/>
      <c r="N287" s="107"/>
      <c r="O287" s="89"/>
      <c r="P287" s="107"/>
      <c r="R287" s="212"/>
    </row>
    <row r="288" spans="1:18" x14ac:dyDescent="0.25">
      <c r="A288" s="212"/>
      <c r="B288" s="249" t="s">
        <v>207</v>
      </c>
      <c r="C288" s="249"/>
      <c r="D288" s="240"/>
      <c r="E288" s="241" t="s">
        <v>127</v>
      </c>
      <c r="F288" s="241" t="s">
        <v>127</v>
      </c>
      <c r="G288" s="241" t="s">
        <v>127</v>
      </c>
      <c r="H288" s="87"/>
      <c r="I288" s="87"/>
      <c r="J288" s="87"/>
      <c r="K288" s="115"/>
      <c r="L288" s="107"/>
      <c r="M288" s="89"/>
      <c r="N288" s="107"/>
      <c r="O288" s="89"/>
      <c r="P288" s="107"/>
      <c r="R288" s="212"/>
    </row>
    <row r="289" spans="1:18" x14ac:dyDescent="0.25">
      <c r="A289" s="212"/>
      <c r="B289" s="216" t="s">
        <v>123</v>
      </c>
      <c r="C289" s="216"/>
      <c r="D289" s="109"/>
      <c r="E289" s="236">
        <f>+F289</f>
        <v>1200000</v>
      </c>
      <c r="F289" s="236">
        <f>+G289</f>
        <v>1200000</v>
      </c>
      <c r="G289" s="236">
        <f>+O276</f>
        <v>1200000</v>
      </c>
      <c r="H289" s="87"/>
      <c r="I289" s="87"/>
      <c r="J289" s="87"/>
      <c r="K289" s="115"/>
      <c r="L289" s="107"/>
      <c r="M289" s="89"/>
      <c r="N289" s="107"/>
      <c r="O289" s="89"/>
      <c r="P289" s="107"/>
      <c r="R289" s="212"/>
    </row>
    <row r="290" spans="1:18" x14ac:dyDescent="0.25">
      <c r="A290" s="212"/>
      <c r="B290" s="109" t="s">
        <v>134</v>
      </c>
      <c r="C290" s="109"/>
      <c r="D290" s="109"/>
      <c r="E290" s="250">
        <f>+E289*10%*3</f>
        <v>360000</v>
      </c>
      <c r="F290" s="250">
        <f>+F289*10%*2</f>
        <v>240000</v>
      </c>
      <c r="G290" s="250">
        <f>+G289*10%*1</f>
        <v>120000</v>
      </c>
      <c r="H290" s="87"/>
      <c r="I290" s="87"/>
      <c r="J290" s="87"/>
      <c r="K290" s="115"/>
      <c r="L290" s="107"/>
      <c r="M290" s="89"/>
      <c r="N290" s="107"/>
      <c r="O290" s="89"/>
      <c r="P290" s="107"/>
      <c r="R290" s="212"/>
    </row>
    <row r="291" spans="1:18" x14ac:dyDescent="0.25">
      <c r="A291" s="212"/>
      <c r="B291" s="216" t="s">
        <v>126</v>
      </c>
      <c r="C291" s="216"/>
      <c r="D291" s="109"/>
      <c r="E291" s="236">
        <f>+E289-E290</f>
        <v>840000</v>
      </c>
      <c r="F291" s="236">
        <f t="shared" ref="F291:G291" si="49">+F289-F290</f>
        <v>960000</v>
      </c>
      <c r="G291" s="236">
        <f t="shared" si="49"/>
        <v>1080000</v>
      </c>
      <c r="H291" s="87"/>
      <c r="I291" s="87"/>
      <c r="J291" s="87"/>
      <c r="K291" s="115"/>
      <c r="L291" s="107"/>
      <c r="M291" s="89"/>
      <c r="N291" s="107"/>
      <c r="O291" s="89"/>
      <c r="P291" s="107"/>
      <c r="R291" s="212"/>
    </row>
    <row r="292" spans="1:18" x14ac:dyDescent="0.25">
      <c r="A292" s="212"/>
      <c r="B292" s="249"/>
      <c r="C292" s="249"/>
      <c r="D292" s="240"/>
      <c r="E292" s="241">
        <v>2025</v>
      </c>
      <c r="F292" s="241">
        <v>2024</v>
      </c>
      <c r="G292" s="241">
        <v>2023</v>
      </c>
      <c r="H292" s="87"/>
      <c r="I292" s="87"/>
      <c r="J292" s="87"/>
      <c r="K292" s="115"/>
      <c r="L292" s="107"/>
      <c r="M292" s="89"/>
      <c r="N292" s="107"/>
      <c r="O292" s="89"/>
      <c r="P292" s="107"/>
      <c r="R292" s="212"/>
    </row>
    <row r="293" spans="1:18" x14ac:dyDescent="0.25">
      <c r="A293" s="212"/>
      <c r="B293" s="249" t="s">
        <v>206</v>
      </c>
      <c r="C293" s="249"/>
      <c r="D293" s="240"/>
      <c r="E293" s="241" t="s">
        <v>127</v>
      </c>
      <c r="F293" s="241" t="s">
        <v>127</v>
      </c>
      <c r="G293" s="241" t="s">
        <v>127</v>
      </c>
      <c r="H293" s="87"/>
      <c r="I293" s="87"/>
      <c r="J293" s="87"/>
      <c r="K293" s="115"/>
      <c r="L293" s="107"/>
      <c r="M293" s="89"/>
      <c r="N293" s="107"/>
      <c r="O293" s="89"/>
      <c r="P293" s="107"/>
      <c r="R293" s="212"/>
    </row>
    <row r="294" spans="1:18" x14ac:dyDescent="0.25">
      <c r="A294" s="212"/>
      <c r="B294" s="216" t="s">
        <v>123</v>
      </c>
      <c r="C294" s="216"/>
      <c r="D294" s="109"/>
      <c r="E294" s="236">
        <f>+F296</f>
        <v>1242000</v>
      </c>
      <c r="F294" s="236">
        <f>+G296</f>
        <v>1220000</v>
      </c>
      <c r="G294" s="236">
        <v>1200000</v>
      </c>
      <c r="H294" s="87"/>
      <c r="I294" s="87"/>
      <c r="J294" s="87"/>
      <c r="K294" s="115"/>
      <c r="L294" s="107"/>
      <c r="M294" s="89"/>
      <c r="N294" s="107"/>
      <c r="O294" s="89"/>
      <c r="P294" s="107"/>
      <c r="R294" s="212"/>
    </row>
    <row r="295" spans="1:18" x14ac:dyDescent="0.25">
      <c r="A295" s="212"/>
      <c r="B295" s="109" t="s">
        <v>178</v>
      </c>
      <c r="C295" s="109"/>
      <c r="D295" s="109"/>
      <c r="E295" s="250">
        <v>25000</v>
      </c>
      <c r="F295" s="250">
        <v>22000</v>
      </c>
      <c r="G295" s="250">
        <v>20000</v>
      </c>
      <c r="H295" s="87"/>
      <c r="I295" s="87"/>
      <c r="J295" s="87"/>
      <c r="K295" s="115"/>
      <c r="L295" s="107"/>
      <c r="M295" s="89"/>
      <c r="N295" s="107"/>
      <c r="O295" s="89"/>
      <c r="P295" s="107"/>
      <c r="R295" s="212"/>
    </row>
    <row r="296" spans="1:18" x14ac:dyDescent="0.25">
      <c r="A296" s="212"/>
      <c r="B296" s="216" t="s">
        <v>126</v>
      </c>
      <c r="C296" s="216"/>
      <c r="D296" s="109"/>
      <c r="E296" s="236">
        <f>+E294+E295</f>
        <v>1267000</v>
      </c>
      <c r="F296" s="236">
        <f>+F294+F295</f>
        <v>1242000</v>
      </c>
      <c r="G296" s="236">
        <f>+G294+G295</f>
        <v>1220000</v>
      </c>
      <c r="H296" s="87"/>
      <c r="I296" s="87"/>
      <c r="J296" s="87"/>
      <c r="K296" s="115"/>
      <c r="L296" s="107"/>
      <c r="M296" s="89"/>
      <c r="N296" s="107"/>
      <c r="O296" s="89"/>
      <c r="P296" s="107"/>
      <c r="R296" s="212"/>
    </row>
    <row r="297" spans="1:18" x14ac:dyDescent="0.25">
      <c r="A297" s="212"/>
      <c r="B297" s="85"/>
      <c r="C297" s="85"/>
      <c r="D297" s="87"/>
      <c r="E297" s="87"/>
      <c r="F297" s="87"/>
      <c r="G297" s="87"/>
      <c r="H297" s="87"/>
      <c r="I297" s="87"/>
      <c r="J297" s="87"/>
      <c r="K297" s="115"/>
      <c r="L297" s="107"/>
      <c r="M297" s="89"/>
      <c r="N297" s="107"/>
      <c r="O297" s="89"/>
      <c r="P297" s="107"/>
      <c r="R297" s="212"/>
    </row>
    <row r="298" spans="1:18" x14ac:dyDescent="0.25">
      <c r="A298" s="212"/>
      <c r="B298" s="85" t="s">
        <v>14</v>
      </c>
      <c r="C298" s="85"/>
      <c r="D298" s="87"/>
      <c r="E298" s="87"/>
      <c r="F298" s="87"/>
      <c r="G298" s="87"/>
      <c r="H298" s="87"/>
      <c r="I298" s="87"/>
      <c r="J298" s="87"/>
      <c r="K298" s="115"/>
      <c r="L298" s="107"/>
      <c r="M298" s="89"/>
      <c r="N298" s="107"/>
      <c r="O298" s="89"/>
      <c r="P298" s="107"/>
      <c r="R298" s="212"/>
    </row>
    <row r="299" spans="1:18" s="213" customFormat="1" x14ac:dyDescent="0.25">
      <c r="A299" s="212"/>
      <c r="B299" s="85" t="s">
        <v>390</v>
      </c>
      <c r="C299" s="85"/>
      <c r="D299" s="85"/>
      <c r="E299" s="85"/>
      <c r="F299" s="85"/>
      <c r="G299" s="85"/>
      <c r="H299" s="87"/>
      <c r="I299" s="85"/>
      <c r="K299" s="114"/>
      <c r="L299" s="108"/>
      <c r="M299" s="86"/>
      <c r="N299" s="108"/>
      <c r="O299" s="86"/>
      <c r="P299" s="108"/>
      <c r="Q299" s="46"/>
      <c r="R299" s="212"/>
    </row>
    <row r="300" spans="1:18" s="213" customFormat="1" x14ac:dyDescent="0.25">
      <c r="A300" s="85"/>
      <c r="B300" s="85" t="s">
        <v>391</v>
      </c>
      <c r="C300" s="85"/>
      <c r="D300" s="85"/>
      <c r="E300" s="85"/>
      <c r="F300" s="85"/>
      <c r="G300" s="85"/>
      <c r="H300" s="85"/>
      <c r="I300" s="85"/>
      <c r="K300" s="114"/>
      <c r="L300" s="108"/>
      <c r="M300" s="86"/>
      <c r="N300" s="108"/>
      <c r="O300" s="86"/>
      <c r="P300" s="108"/>
      <c r="Q300" s="46"/>
      <c r="R300" s="85"/>
    </row>
    <row r="301" spans="1:18" s="213" customFormat="1" x14ac:dyDescent="0.25">
      <c r="A301" s="85"/>
      <c r="B301" s="85"/>
      <c r="C301" s="85"/>
      <c r="D301" s="85"/>
      <c r="E301" s="85"/>
      <c r="F301" s="85"/>
      <c r="G301" s="85"/>
      <c r="H301" s="85"/>
      <c r="I301" s="85"/>
      <c r="K301" s="114"/>
      <c r="L301" s="108"/>
      <c r="M301" s="86"/>
      <c r="N301" s="108"/>
      <c r="O301" s="86"/>
      <c r="P301" s="108"/>
      <c r="Q301" s="46"/>
      <c r="R301" s="85"/>
    </row>
    <row r="302" spans="1:18" s="213" customFormat="1" x14ac:dyDescent="0.25">
      <c r="A302" s="87"/>
      <c r="B302" s="111" t="s">
        <v>99</v>
      </c>
      <c r="C302" s="85"/>
      <c r="D302" s="85"/>
      <c r="E302" s="85"/>
      <c r="F302" s="85"/>
      <c r="G302" s="85"/>
      <c r="H302" s="87">
        <f t="shared" ref="H302:H304" si="50">IF(A302=0,0,1)</f>
        <v>0</v>
      </c>
      <c r="I302" s="85"/>
      <c r="K302" s="115">
        <f>+M303</f>
        <v>102705</v>
      </c>
      <c r="L302" s="108"/>
      <c r="M302" s="89">
        <v>0</v>
      </c>
      <c r="N302" s="108"/>
      <c r="O302" s="86"/>
      <c r="P302" s="108"/>
      <c r="Q302" s="46"/>
      <c r="R302" s="87" t="s">
        <v>98</v>
      </c>
    </row>
    <row r="303" spans="1:18" x14ac:dyDescent="0.25">
      <c r="A303" s="87"/>
      <c r="B303" s="111" t="s">
        <v>164</v>
      </c>
      <c r="C303" s="87"/>
      <c r="D303" s="87"/>
      <c r="E303" s="87"/>
      <c r="F303" s="87"/>
      <c r="G303" s="87"/>
      <c r="H303" s="87">
        <f t="shared" si="50"/>
        <v>0</v>
      </c>
      <c r="I303" s="87"/>
      <c r="K303" s="115">
        <f>+L304-K302</f>
        <v>105717</v>
      </c>
      <c r="L303" s="107"/>
      <c r="M303" s="89">
        <f>+F309</f>
        <v>102705</v>
      </c>
      <c r="N303" s="107"/>
      <c r="O303" s="89"/>
      <c r="P303" s="107"/>
      <c r="R303" s="87" t="s">
        <v>115</v>
      </c>
    </row>
    <row r="304" spans="1:18" x14ac:dyDescent="0.25">
      <c r="A304" s="87"/>
      <c r="B304" s="111" t="s">
        <v>93</v>
      </c>
      <c r="C304" s="87"/>
      <c r="D304" s="87"/>
      <c r="E304" s="87"/>
      <c r="F304" s="87"/>
      <c r="G304" s="87"/>
      <c r="H304" s="87">
        <f t="shared" si="50"/>
        <v>0</v>
      </c>
      <c r="I304" s="87"/>
      <c r="K304" s="115"/>
      <c r="L304" s="107">
        <f>+E309</f>
        <v>208422</v>
      </c>
      <c r="M304" s="89"/>
      <c r="N304" s="107">
        <f>+M303</f>
        <v>102705</v>
      </c>
      <c r="O304" s="89"/>
      <c r="P304" s="107"/>
      <c r="R304" s="87" t="s">
        <v>92</v>
      </c>
    </row>
    <row r="305" spans="1:18" s="213" customFormat="1" x14ac:dyDescent="0.25">
      <c r="A305" s="85"/>
      <c r="B305" s="249"/>
      <c r="C305" s="240"/>
      <c r="D305" s="240"/>
      <c r="E305" s="241">
        <v>2025</v>
      </c>
      <c r="F305" s="241">
        <v>2024</v>
      </c>
      <c r="G305" s="87"/>
      <c r="H305" s="87"/>
      <c r="I305" s="85"/>
      <c r="K305" s="114"/>
      <c r="L305" s="108"/>
      <c r="M305" s="86"/>
      <c r="N305" s="108"/>
      <c r="O305" s="86"/>
      <c r="P305" s="108"/>
      <c r="Q305" s="46"/>
      <c r="R305" s="85"/>
    </row>
    <row r="306" spans="1:18" s="213" customFormat="1" x14ac:dyDescent="0.25">
      <c r="A306" s="85"/>
      <c r="B306" s="249"/>
      <c r="C306" s="240"/>
      <c r="D306" s="240"/>
      <c r="E306" s="241" t="s">
        <v>127</v>
      </c>
      <c r="F306" s="241" t="s">
        <v>127</v>
      </c>
      <c r="G306" s="87"/>
      <c r="H306" s="87"/>
      <c r="I306" s="85"/>
      <c r="K306" s="114"/>
      <c r="L306" s="108"/>
      <c r="M306" s="86"/>
      <c r="N306" s="108"/>
      <c r="O306" s="86"/>
      <c r="P306" s="108"/>
      <c r="Q306" s="46"/>
      <c r="R306" s="85"/>
    </row>
    <row r="307" spans="1:18" x14ac:dyDescent="0.25">
      <c r="A307" s="87"/>
      <c r="B307" s="85" t="s">
        <v>179</v>
      </c>
      <c r="C307" s="87"/>
      <c r="D307" s="87"/>
      <c r="E307" s="228">
        <f>+Matriz!C37-K15</f>
        <v>991578</v>
      </c>
      <c r="F307" s="228">
        <f>+Matriz!D37-M15</f>
        <v>997295</v>
      </c>
      <c r="G307" s="87"/>
      <c r="H307" s="87"/>
      <c r="I307" s="87"/>
      <c r="K307" s="115"/>
      <c r="L307" s="107"/>
      <c r="M307" s="89"/>
      <c r="N307" s="107"/>
      <c r="O307" s="89"/>
      <c r="P307" s="107"/>
      <c r="R307" s="87"/>
    </row>
    <row r="308" spans="1:18" x14ac:dyDescent="0.25">
      <c r="A308" s="87"/>
      <c r="B308" s="85" t="s">
        <v>180</v>
      </c>
      <c r="C308" s="87"/>
      <c r="D308" s="87"/>
      <c r="E308" s="228">
        <v>1200000</v>
      </c>
      <c r="F308" s="228">
        <v>1100000</v>
      </c>
      <c r="G308" s="87"/>
      <c r="H308" s="87"/>
      <c r="I308" s="87"/>
      <c r="K308" s="115"/>
      <c r="L308" s="107"/>
      <c r="M308" s="89"/>
      <c r="N308" s="107"/>
      <c r="O308" s="89"/>
      <c r="P308" s="107"/>
      <c r="R308" s="87"/>
    </row>
    <row r="309" spans="1:18" x14ac:dyDescent="0.25">
      <c r="A309" s="87"/>
      <c r="B309" s="251" t="s">
        <v>131</v>
      </c>
      <c r="C309" s="252"/>
      <c r="D309" s="252"/>
      <c r="E309" s="253">
        <f>+E308-E307</f>
        <v>208422</v>
      </c>
      <c r="F309" s="253">
        <f>+F308-F307</f>
        <v>102705</v>
      </c>
      <c r="G309" s="87"/>
      <c r="H309" s="87"/>
      <c r="I309" s="87"/>
      <c r="K309" s="115"/>
      <c r="L309" s="107"/>
      <c r="M309" s="89"/>
      <c r="N309" s="107"/>
      <c r="O309" s="89"/>
      <c r="P309" s="107"/>
      <c r="R309" s="87"/>
    </row>
    <row r="310" spans="1:18" x14ac:dyDescent="0.25">
      <c r="A310" s="87"/>
      <c r="B310" s="87"/>
      <c r="C310" s="87"/>
      <c r="D310" s="87"/>
      <c r="E310" s="87"/>
      <c r="F310" s="87"/>
      <c r="G310" s="87"/>
      <c r="H310" s="87"/>
      <c r="I310" s="87"/>
      <c r="K310" s="115"/>
      <c r="L310" s="107"/>
      <c r="M310" s="89"/>
      <c r="N310" s="107"/>
      <c r="O310" s="89"/>
      <c r="P310" s="107"/>
      <c r="R310" s="87"/>
    </row>
    <row r="311" spans="1:18" x14ac:dyDescent="0.25">
      <c r="A311" s="87"/>
      <c r="B311" s="85" t="s">
        <v>15</v>
      </c>
      <c r="C311" s="87"/>
      <c r="D311" s="87"/>
      <c r="E311" s="87"/>
      <c r="F311" s="87"/>
      <c r="G311" s="87"/>
      <c r="H311" s="87"/>
      <c r="I311" s="87"/>
      <c r="K311" s="115"/>
      <c r="L311" s="107"/>
      <c r="M311" s="89"/>
      <c r="N311" s="107"/>
      <c r="O311" s="89"/>
      <c r="P311" s="107"/>
      <c r="R311" s="87"/>
    </row>
    <row r="312" spans="1:18" x14ac:dyDescent="0.25">
      <c r="A312" s="87"/>
      <c r="B312" s="85" t="s">
        <v>34</v>
      </c>
      <c r="C312" s="87"/>
      <c r="D312" s="87"/>
      <c r="E312" s="87"/>
      <c r="F312" s="87"/>
      <c r="G312" s="87"/>
      <c r="H312" s="87"/>
      <c r="I312" s="87"/>
      <c r="J312" s="87"/>
      <c r="K312" s="115"/>
      <c r="L312" s="107"/>
      <c r="M312" s="89"/>
      <c r="N312" s="107"/>
      <c r="O312" s="89"/>
      <c r="P312" s="107"/>
      <c r="R312" s="87"/>
    </row>
    <row r="313" spans="1:18" x14ac:dyDescent="0.25">
      <c r="A313" s="87"/>
      <c r="B313" s="111" t="s">
        <v>99</v>
      </c>
      <c r="C313" s="87"/>
      <c r="D313" s="87"/>
      <c r="E313" s="87"/>
      <c r="F313" s="87"/>
      <c r="G313" s="87"/>
      <c r="H313" s="87">
        <f t="shared" ref="H313:H315" si="51">IF(A313=0,0,1)</f>
        <v>0</v>
      </c>
      <c r="I313" s="87"/>
      <c r="J313" s="87"/>
      <c r="K313" s="115">
        <f>+M313-N314</f>
        <v>2250000</v>
      </c>
      <c r="L313" s="107"/>
      <c r="M313" s="89">
        <f>+O313</f>
        <v>2500000</v>
      </c>
      <c r="N313" s="107"/>
      <c r="O313" s="89">
        <f>+G319</f>
        <v>2500000</v>
      </c>
      <c r="P313" s="107"/>
      <c r="R313" s="87" t="s">
        <v>98</v>
      </c>
    </row>
    <row r="314" spans="1:18" x14ac:dyDescent="0.25">
      <c r="A314" s="87"/>
      <c r="B314" s="111" t="s">
        <v>107</v>
      </c>
      <c r="C314" s="87"/>
      <c r="D314" s="87"/>
      <c r="E314" s="87"/>
      <c r="F314" s="87"/>
      <c r="G314" s="87"/>
      <c r="H314" s="87">
        <f t="shared" si="51"/>
        <v>0</v>
      </c>
      <c r="I314" s="87"/>
      <c r="J314" s="87"/>
      <c r="K314" s="115"/>
      <c r="L314" s="107">
        <f>+K313-L315</f>
        <v>250000</v>
      </c>
      <c r="M314" s="89"/>
      <c r="N314" s="107">
        <f>+M313-N315</f>
        <v>250000</v>
      </c>
      <c r="O314" s="89">
        <v>0</v>
      </c>
      <c r="P314" s="107"/>
      <c r="R314" s="87" t="s">
        <v>106</v>
      </c>
    </row>
    <row r="315" spans="1:18" x14ac:dyDescent="0.25">
      <c r="A315" s="87"/>
      <c r="B315" s="111" t="s">
        <v>183</v>
      </c>
      <c r="C315" s="87"/>
      <c r="D315" s="87"/>
      <c r="E315" s="87"/>
      <c r="F315" s="87"/>
      <c r="G315" s="87"/>
      <c r="H315" s="87">
        <f t="shared" si="51"/>
        <v>0</v>
      </c>
      <c r="I315" s="87"/>
      <c r="J315" s="87"/>
      <c r="K315" s="115"/>
      <c r="L315" s="107">
        <f>+E321</f>
        <v>2000000</v>
      </c>
      <c r="M315" s="89"/>
      <c r="N315" s="107">
        <f>+F321</f>
        <v>2250000</v>
      </c>
      <c r="O315" s="89"/>
      <c r="P315" s="107">
        <f>+G319</f>
        <v>2500000</v>
      </c>
      <c r="R315" s="87" t="s">
        <v>182</v>
      </c>
    </row>
    <row r="316" spans="1:18" x14ac:dyDescent="0.25">
      <c r="A316" s="87"/>
      <c r="B316" s="111"/>
      <c r="C316" s="87"/>
      <c r="D316" s="87"/>
      <c r="E316" s="87"/>
      <c r="F316" s="87"/>
      <c r="G316" s="87"/>
      <c r="H316" s="87"/>
      <c r="I316" s="87"/>
      <c r="J316" s="87"/>
      <c r="K316" s="115"/>
      <c r="L316" s="107"/>
      <c r="M316" s="89"/>
      <c r="N316" s="107"/>
      <c r="O316" s="89"/>
      <c r="P316" s="107"/>
      <c r="R316" s="87"/>
    </row>
    <row r="317" spans="1:18" x14ac:dyDescent="0.25">
      <c r="A317" s="87"/>
      <c r="B317" s="249"/>
      <c r="C317" s="240"/>
      <c r="D317" s="240"/>
      <c r="E317" s="241">
        <v>2025</v>
      </c>
      <c r="F317" s="241">
        <v>2024</v>
      </c>
      <c r="G317" s="241">
        <v>2023</v>
      </c>
      <c r="H317" s="87"/>
      <c r="I317" s="87"/>
      <c r="J317" s="87"/>
      <c r="K317" s="115"/>
      <c r="L317" s="107"/>
      <c r="M317" s="89"/>
      <c r="N317" s="107"/>
      <c r="O317" s="89"/>
      <c r="P317" s="107"/>
      <c r="R317" s="87"/>
    </row>
    <row r="318" spans="1:18" x14ac:dyDescent="0.25">
      <c r="A318" s="87"/>
      <c r="B318" s="249"/>
      <c r="C318" s="240"/>
      <c r="D318" s="240"/>
      <c r="E318" s="241" t="s">
        <v>127</v>
      </c>
      <c r="F318" s="241" t="s">
        <v>127</v>
      </c>
      <c r="G318" s="241" t="s">
        <v>127</v>
      </c>
      <c r="H318" s="87"/>
      <c r="I318" s="87"/>
      <c r="J318" s="87"/>
      <c r="K318" s="115"/>
      <c r="L318" s="107"/>
      <c r="M318" s="89"/>
      <c r="N318" s="107"/>
      <c r="O318" s="89"/>
      <c r="P318" s="107"/>
      <c r="R318" s="87"/>
    </row>
    <row r="319" spans="1:18" x14ac:dyDescent="0.25">
      <c r="A319" s="87"/>
      <c r="B319" s="85" t="s">
        <v>123</v>
      </c>
      <c r="C319" s="87"/>
      <c r="D319" s="87"/>
      <c r="E319" s="228">
        <f>+F321</f>
        <v>2250000</v>
      </c>
      <c r="F319" s="228">
        <v>2500000</v>
      </c>
      <c r="G319" s="228">
        <v>2500000</v>
      </c>
      <c r="H319" s="87"/>
      <c r="I319" s="87"/>
      <c r="J319" s="87"/>
      <c r="K319" s="115"/>
      <c r="L319" s="107"/>
      <c r="M319" s="89"/>
      <c r="N319" s="107"/>
      <c r="O319" s="89"/>
      <c r="P319" s="107"/>
      <c r="R319" s="87"/>
    </row>
    <row r="320" spans="1:18" x14ac:dyDescent="0.25">
      <c r="A320" s="87"/>
      <c r="B320" s="87" t="s">
        <v>378</v>
      </c>
      <c r="C320" s="87"/>
      <c r="D320" s="87"/>
      <c r="E320" s="225">
        <f>+F320</f>
        <v>250000</v>
      </c>
      <c r="F320" s="225">
        <f>+F319*10%</f>
        <v>250000</v>
      </c>
      <c r="G320" s="87"/>
      <c r="H320" s="87"/>
      <c r="I320" s="87"/>
      <c r="J320" s="87"/>
      <c r="K320" s="115"/>
      <c r="L320" s="107"/>
      <c r="M320" s="89"/>
      <c r="N320" s="107"/>
      <c r="O320" s="89"/>
      <c r="P320" s="107"/>
      <c r="R320" s="87"/>
    </row>
    <row r="321" spans="1:18" x14ac:dyDescent="0.25">
      <c r="A321" s="87"/>
      <c r="B321" s="251" t="s">
        <v>126</v>
      </c>
      <c r="C321" s="252"/>
      <c r="D321" s="252"/>
      <c r="E321" s="253">
        <f>+E319-E320</f>
        <v>2000000</v>
      </c>
      <c r="F321" s="253">
        <f>+F319-F320</f>
        <v>2250000</v>
      </c>
      <c r="G321" s="87"/>
      <c r="H321" s="87"/>
      <c r="I321" s="87"/>
      <c r="J321" s="87"/>
      <c r="K321" s="115"/>
      <c r="L321" s="107"/>
      <c r="M321" s="89"/>
      <c r="N321" s="107"/>
      <c r="O321" s="89"/>
      <c r="P321" s="107"/>
      <c r="R321" s="87"/>
    </row>
    <row r="322" spans="1:18" x14ac:dyDescent="0.25">
      <c r="A322" s="87"/>
      <c r="B322" s="87"/>
      <c r="C322" s="87"/>
      <c r="D322" s="87"/>
      <c r="E322" s="87"/>
      <c r="F322" s="87"/>
      <c r="G322" s="87"/>
      <c r="H322" s="87"/>
      <c r="I322" s="87"/>
      <c r="J322" s="87"/>
      <c r="K322" s="115"/>
      <c r="L322" s="107"/>
      <c r="M322" s="89"/>
      <c r="N322" s="107"/>
      <c r="O322" s="89"/>
      <c r="P322" s="107"/>
      <c r="R322" s="87"/>
    </row>
    <row r="323" spans="1:18" x14ac:dyDescent="0.25">
      <c r="A323" s="87"/>
      <c r="B323" s="85" t="s">
        <v>381</v>
      </c>
      <c r="C323" s="87"/>
      <c r="D323" s="87"/>
      <c r="E323" s="87"/>
      <c r="F323" s="87"/>
      <c r="G323" s="87"/>
      <c r="H323" s="87"/>
      <c r="I323" s="87"/>
      <c r="J323" s="87"/>
      <c r="K323" s="115"/>
      <c r="L323" s="107"/>
      <c r="M323" s="89"/>
      <c r="N323" s="107"/>
      <c r="O323" s="89"/>
      <c r="P323" s="107"/>
      <c r="R323" s="87"/>
    </row>
    <row r="324" spans="1:18" x14ac:dyDescent="0.25">
      <c r="A324" s="87"/>
      <c r="B324" s="85" t="s">
        <v>31</v>
      </c>
      <c r="C324" s="87"/>
      <c r="D324" s="87"/>
      <c r="E324" s="87"/>
      <c r="F324" s="87"/>
      <c r="G324" s="87"/>
      <c r="H324" s="87"/>
      <c r="I324" s="87"/>
      <c r="J324" s="87"/>
      <c r="K324" s="115"/>
      <c r="L324" s="107"/>
      <c r="M324" s="89"/>
      <c r="N324" s="107"/>
      <c r="O324" s="89"/>
      <c r="P324" s="107"/>
      <c r="R324" s="87"/>
    </row>
    <row r="325" spans="1:18" x14ac:dyDescent="0.25">
      <c r="A325" s="87"/>
      <c r="B325" s="111" t="s">
        <v>171</v>
      </c>
      <c r="C325" s="87"/>
      <c r="D325" s="87"/>
      <c r="E325" s="87"/>
      <c r="F325" s="87"/>
      <c r="G325" s="87"/>
      <c r="H325" s="87">
        <f t="shared" ref="H325:H327" si="52">IF(A325=0,0,1)</f>
        <v>0</v>
      </c>
      <c r="I325" s="87"/>
      <c r="J325" s="87"/>
      <c r="K325" s="115">
        <f>+E361</f>
        <v>18515.301607638365</v>
      </c>
      <c r="L325" s="107"/>
      <c r="M325" s="89">
        <f>+F361</f>
        <v>51744.81361256633</v>
      </c>
      <c r="N325" s="107"/>
      <c r="O325" s="89">
        <f>+G361</f>
        <v>96475.253532565199</v>
      </c>
      <c r="P325" s="107"/>
      <c r="R325" s="87" t="s">
        <v>181</v>
      </c>
    </row>
    <row r="326" spans="1:18" x14ac:dyDescent="0.25">
      <c r="A326" s="87"/>
      <c r="B326" s="111" t="s">
        <v>164</v>
      </c>
      <c r="C326" s="87"/>
      <c r="D326" s="87"/>
      <c r="E326" s="87"/>
      <c r="F326" s="87"/>
      <c r="G326" s="87"/>
      <c r="H326" s="87">
        <f t="shared" si="52"/>
        <v>0</v>
      </c>
      <c r="I326" s="87"/>
      <c r="J326" s="87"/>
      <c r="K326" s="115">
        <f>+L327-K325</f>
        <v>33229.512004927965</v>
      </c>
      <c r="L326" s="107"/>
      <c r="M326" s="89">
        <f>+N327-M325</f>
        <v>44730.439919998869</v>
      </c>
      <c r="N326" s="107"/>
      <c r="O326" s="89"/>
      <c r="P326" s="107"/>
      <c r="R326" s="87" t="s">
        <v>115</v>
      </c>
    </row>
    <row r="327" spans="1:18" x14ac:dyDescent="0.25">
      <c r="A327" s="87"/>
      <c r="B327" s="111" t="s">
        <v>99</v>
      </c>
      <c r="C327" s="87"/>
      <c r="D327" s="87"/>
      <c r="E327" s="87"/>
      <c r="F327" s="87"/>
      <c r="G327" s="87"/>
      <c r="H327" s="87">
        <f t="shared" si="52"/>
        <v>0</v>
      </c>
      <c r="I327" s="87"/>
      <c r="J327" s="87"/>
      <c r="K327" s="115"/>
      <c r="L327" s="107">
        <f>+N327-M326</f>
        <v>51744.81361256633</v>
      </c>
      <c r="M327" s="89"/>
      <c r="N327" s="107">
        <f>+P327</f>
        <v>96475.253532565199</v>
      </c>
      <c r="O327" s="89"/>
      <c r="P327" s="107">
        <f>+O325</f>
        <v>96475.253532565199</v>
      </c>
      <c r="R327" s="87" t="s">
        <v>98</v>
      </c>
    </row>
    <row r="328" spans="1:18" ht="16.5" thickBot="1" x14ac:dyDescent="0.3">
      <c r="A328" s="214"/>
      <c r="B328" s="87"/>
      <c r="C328" s="111"/>
      <c r="D328" s="87"/>
      <c r="E328" s="87"/>
      <c r="F328" s="87"/>
      <c r="G328" s="87"/>
      <c r="H328" s="87"/>
      <c r="I328" s="87"/>
      <c r="J328" s="87"/>
      <c r="K328" s="115"/>
      <c r="L328" s="107"/>
      <c r="M328" s="89"/>
      <c r="N328" s="107"/>
      <c r="O328" s="89"/>
      <c r="P328" s="107"/>
      <c r="R328" s="214"/>
    </row>
    <row r="329" spans="1:18" x14ac:dyDescent="0.25">
      <c r="A329" s="89"/>
      <c r="B329" s="85"/>
      <c r="C329" s="111"/>
      <c r="D329" s="87"/>
      <c r="E329" s="254" t="s">
        <v>311</v>
      </c>
      <c r="F329" s="87"/>
      <c r="G329" s="87"/>
      <c r="H329" s="87"/>
      <c r="I329" s="87"/>
      <c r="J329" s="87"/>
      <c r="K329" s="115"/>
      <c r="L329" s="107"/>
      <c r="M329" s="89"/>
      <c r="N329" s="107"/>
      <c r="O329" s="89"/>
      <c r="P329" s="107"/>
      <c r="R329" s="89"/>
    </row>
    <row r="330" spans="1:18" x14ac:dyDescent="0.25">
      <c r="A330" s="89"/>
      <c r="B330" s="85" t="s">
        <v>184</v>
      </c>
      <c r="C330" s="111"/>
      <c r="D330" s="87"/>
      <c r="E330" s="255">
        <v>2500000</v>
      </c>
      <c r="F330" s="87"/>
      <c r="G330" s="87"/>
      <c r="H330" s="87"/>
      <c r="I330" s="87"/>
      <c r="J330" s="87"/>
      <c r="K330" s="115"/>
      <c r="L330" s="107"/>
      <c r="M330" s="89"/>
      <c r="N330" s="107"/>
      <c r="O330" s="89"/>
      <c r="P330" s="107"/>
      <c r="R330" s="89"/>
    </row>
    <row r="331" spans="1:18" x14ac:dyDescent="0.25">
      <c r="A331" s="89"/>
      <c r="B331" s="85" t="s">
        <v>185</v>
      </c>
      <c r="C331" s="111"/>
      <c r="D331" s="87"/>
      <c r="E331" s="255">
        <v>150000</v>
      </c>
      <c r="F331" s="87"/>
      <c r="G331" s="87"/>
      <c r="H331" s="87"/>
      <c r="I331" s="87"/>
      <c r="J331" s="87"/>
      <c r="K331" s="115"/>
      <c r="L331" s="107"/>
      <c r="M331" s="89"/>
      <c r="N331" s="107"/>
      <c r="O331" s="89"/>
      <c r="P331" s="107"/>
      <c r="R331" s="89"/>
    </row>
    <row r="332" spans="1:18" ht="16.5" thickBot="1" x14ac:dyDescent="0.3">
      <c r="A332" s="89"/>
      <c r="B332" s="85" t="s">
        <v>186</v>
      </c>
      <c r="C332" s="111"/>
      <c r="D332" s="87"/>
      <c r="E332" s="256">
        <v>0.1</v>
      </c>
      <c r="F332" s="87"/>
      <c r="G332" s="87"/>
      <c r="H332" s="87"/>
      <c r="I332" s="87"/>
      <c r="J332" s="87"/>
      <c r="K332" s="115"/>
      <c r="L332" s="107"/>
      <c r="M332" s="89"/>
      <c r="N332" s="107"/>
      <c r="O332" s="89"/>
      <c r="P332" s="107"/>
      <c r="R332" s="89"/>
    </row>
    <row r="333" spans="1:18" ht="16.5" thickBot="1" x14ac:dyDescent="0.3">
      <c r="A333" s="212"/>
      <c r="B333" s="85"/>
      <c r="C333" s="85"/>
      <c r="D333" s="87"/>
      <c r="E333" s="87"/>
      <c r="F333" s="87"/>
      <c r="G333" s="87"/>
      <c r="H333" s="87"/>
      <c r="I333" s="87"/>
      <c r="J333" s="87"/>
      <c r="K333" s="115"/>
      <c r="L333" s="107"/>
      <c r="M333" s="89"/>
      <c r="N333" s="107"/>
      <c r="O333" s="89"/>
      <c r="P333" s="107"/>
      <c r="R333" s="212"/>
    </row>
    <row r="334" spans="1:18" ht="16.5" thickBot="1" x14ac:dyDescent="0.3">
      <c r="A334" s="212"/>
      <c r="B334" s="257" t="s">
        <v>310</v>
      </c>
      <c r="C334" s="258"/>
      <c r="D334" s="258"/>
      <c r="E334" s="259"/>
      <c r="F334" s="87"/>
      <c r="G334" s="87"/>
      <c r="H334" s="87"/>
      <c r="I334" s="87"/>
      <c r="J334" s="87"/>
      <c r="K334" s="115"/>
      <c r="L334" s="107"/>
      <c r="M334" s="89"/>
      <c r="N334" s="107"/>
      <c r="O334" s="89"/>
      <c r="P334" s="107"/>
      <c r="R334" s="212"/>
    </row>
    <row r="335" spans="1:18" ht="16.5" thickBot="1" x14ac:dyDescent="0.3">
      <c r="A335" s="212"/>
      <c r="B335" s="260"/>
      <c r="C335" s="261" t="s">
        <v>187</v>
      </c>
      <c r="D335" s="261" t="s">
        <v>188</v>
      </c>
      <c r="E335" s="262" t="s">
        <v>189</v>
      </c>
      <c r="F335" s="87"/>
      <c r="G335" s="87"/>
      <c r="H335" s="87"/>
      <c r="I335" s="87"/>
      <c r="J335" s="87"/>
      <c r="K335" s="115"/>
      <c r="L335" s="107"/>
      <c r="M335" s="89"/>
      <c r="N335" s="107"/>
      <c r="O335" s="89"/>
      <c r="P335" s="107"/>
      <c r="R335" s="212"/>
    </row>
    <row r="336" spans="1:18" x14ac:dyDescent="0.25">
      <c r="A336" s="212"/>
      <c r="B336" s="263">
        <v>1</v>
      </c>
      <c r="C336" s="264">
        <f>-PPMT($E$332,B336,4,$E$330,0,0)</f>
        <v>538677.00926524459</v>
      </c>
      <c r="D336" s="264">
        <f>-IPMT($E$332,B336,4,$E$330,0,0)</f>
        <v>250000</v>
      </c>
      <c r="E336" s="265">
        <f>+C336+D336</f>
        <v>788677.00926524459</v>
      </c>
      <c r="F336" s="87"/>
      <c r="G336" s="87"/>
      <c r="H336" s="87"/>
      <c r="I336" s="87"/>
      <c r="J336" s="87"/>
      <c r="K336" s="115"/>
      <c r="L336" s="107"/>
      <c r="M336" s="89"/>
      <c r="N336" s="107"/>
      <c r="O336" s="89"/>
      <c r="P336" s="107"/>
      <c r="R336" s="212"/>
    </row>
    <row r="337" spans="1:18" x14ac:dyDescent="0.25">
      <c r="A337" s="212"/>
      <c r="B337" s="263">
        <v>2</v>
      </c>
      <c r="C337" s="264">
        <f>-PPMT($E$332,B337,4,$E$330,0,0)</f>
        <v>592544.71019176906</v>
      </c>
      <c r="D337" s="264">
        <f>-IPMT($E$332,B337,4,$E$330,0,0)</f>
        <v>196132.29907347553</v>
      </c>
      <c r="E337" s="265">
        <f>+C337+D337</f>
        <v>788677.00926524459</v>
      </c>
      <c r="F337" s="87"/>
      <c r="G337" s="87"/>
      <c r="H337" s="87"/>
      <c r="I337" s="87"/>
      <c r="J337" s="87"/>
      <c r="K337" s="115"/>
      <c r="L337" s="107"/>
      <c r="M337" s="89"/>
      <c r="N337" s="107"/>
      <c r="O337" s="89"/>
      <c r="P337" s="107"/>
      <c r="R337" s="212"/>
    </row>
    <row r="338" spans="1:18" x14ac:dyDescent="0.25">
      <c r="A338" s="212"/>
      <c r="B338" s="263">
        <v>3</v>
      </c>
      <c r="C338" s="264">
        <f>-PPMT($E$332,B338,4,$E$330,0,0)</f>
        <v>651799.18121094594</v>
      </c>
      <c r="D338" s="264">
        <f>-IPMT($E$332,B338,4,$E$330,0,0)</f>
        <v>136877.82805429862</v>
      </c>
      <c r="E338" s="265">
        <f>+C338+D338</f>
        <v>788677.00926524459</v>
      </c>
      <c r="F338" s="87"/>
      <c r="G338" s="87"/>
      <c r="H338" s="87"/>
      <c r="I338" s="87"/>
      <c r="J338" s="87"/>
      <c r="K338" s="115"/>
      <c r="L338" s="107"/>
      <c r="M338" s="89"/>
      <c r="N338" s="107"/>
      <c r="O338" s="89"/>
      <c r="P338" s="107"/>
      <c r="R338" s="212"/>
    </row>
    <row r="339" spans="1:18" ht="16.5" thickBot="1" x14ac:dyDescent="0.3">
      <c r="A339" s="212"/>
      <c r="B339" s="263">
        <v>4</v>
      </c>
      <c r="C339" s="264">
        <f>-PPMT($E$332,B339,4,$E$330,0,0)</f>
        <v>716979.09933204053</v>
      </c>
      <c r="D339" s="264">
        <f>-IPMT($E$332,B339,4,$E$330,0,0)</f>
        <v>71697.90993320405</v>
      </c>
      <c r="E339" s="265">
        <f>+C339+D339</f>
        <v>788677.00926524459</v>
      </c>
      <c r="F339" s="87"/>
      <c r="G339" s="87"/>
      <c r="H339" s="87"/>
      <c r="I339" s="87"/>
      <c r="J339" s="87"/>
      <c r="K339" s="115"/>
      <c r="L339" s="107"/>
      <c r="M339" s="89"/>
      <c r="N339" s="107"/>
      <c r="O339" s="89"/>
      <c r="P339" s="107"/>
      <c r="R339" s="212"/>
    </row>
    <row r="340" spans="1:18" ht="16.5" thickBot="1" x14ac:dyDescent="0.3">
      <c r="A340" s="212"/>
      <c r="B340" s="266"/>
      <c r="C340" s="267">
        <f>+SUM(C336:C339)</f>
        <v>2500000</v>
      </c>
      <c r="D340" s="267">
        <f>+SUM(D336:D339)</f>
        <v>654708.03706097824</v>
      </c>
      <c r="E340" s="268">
        <f>+SUM(E336:E339)</f>
        <v>3154708.0370609784</v>
      </c>
      <c r="F340" s="87"/>
      <c r="G340" s="87"/>
      <c r="H340" s="87"/>
      <c r="I340" s="87"/>
      <c r="J340" s="87"/>
      <c r="K340" s="115"/>
      <c r="L340" s="107"/>
      <c r="M340" s="89"/>
      <c r="N340" s="107"/>
      <c r="O340" s="89"/>
      <c r="P340" s="107"/>
      <c r="R340" s="212"/>
    </row>
    <row r="341" spans="1:18" ht="16.5" thickBot="1" x14ac:dyDescent="0.3">
      <c r="A341" s="87"/>
      <c r="B341" s="87"/>
      <c r="C341" s="87"/>
      <c r="D341" s="87"/>
      <c r="E341" s="87"/>
      <c r="F341" s="87"/>
      <c r="G341" s="87"/>
      <c r="H341" s="87"/>
      <c r="I341" s="87"/>
      <c r="J341" s="87"/>
      <c r="K341" s="115"/>
      <c r="L341" s="107"/>
      <c r="M341" s="89"/>
      <c r="N341" s="107"/>
      <c r="O341" s="89"/>
      <c r="P341" s="107"/>
      <c r="R341" s="87"/>
    </row>
    <row r="342" spans="1:18" ht="16.5" thickBot="1" x14ac:dyDescent="0.3">
      <c r="A342" s="212"/>
      <c r="B342" s="269" t="s">
        <v>208</v>
      </c>
      <c r="C342" s="270"/>
      <c r="D342" s="87"/>
      <c r="E342" s="87"/>
      <c r="F342" s="87"/>
      <c r="G342" s="87"/>
      <c r="H342" s="87"/>
      <c r="I342" s="87"/>
      <c r="J342" s="87"/>
      <c r="K342" s="115"/>
      <c r="L342" s="107"/>
      <c r="M342" s="89"/>
      <c r="N342" s="107"/>
      <c r="O342" s="89"/>
      <c r="P342" s="107"/>
      <c r="R342" s="212"/>
    </row>
    <row r="343" spans="1:18" x14ac:dyDescent="0.25">
      <c r="A343" s="214"/>
      <c r="B343" s="271">
        <v>0</v>
      </c>
      <c r="C343" s="272">
        <f>E330-E331</f>
        <v>2350000</v>
      </c>
      <c r="D343" s="87"/>
      <c r="E343" s="87"/>
      <c r="F343" s="87"/>
      <c r="G343" s="87"/>
      <c r="H343" s="87"/>
      <c r="I343" s="87"/>
      <c r="J343" s="87"/>
      <c r="K343" s="115"/>
      <c r="L343" s="107"/>
      <c r="M343" s="89"/>
      <c r="N343" s="107"/>
      <c r="O343" s="89"/>
      <c r="P343" s="107"/>
      <c r="R343" s="214"/>
    </row>
    <row r="344" spans="1:18" x14ac:dyDescent="0.25">
      <c r="A344" s="214"/>
      <c r="B344" s="273">
        <f>+B343+1</f>
        <v>1</v>
      </c>
      <c r="C344" s="274">
        <f>-E336</f>
        <v>-788677.00926524459</v>
      </c>
      <c r="D344" s="87"/>
      <c r="E344" s="87"/>
      <c r="F344" s="87"/>
      <c r="G344" s="87"/>
      <c r="H344" s="87"/>
      <c r="I344" s="87"/>
      <c r="J344" s="87"/>
      <c r="K344" s="115"/>
      <c r="L344" s="107"/>
      <c r="M344" s="89"/>
      <c r="N344" s="107"/>
      <c r="O344" s="89"/>
      <c r="P344" s="107"/>
      <c r="R344" s="214"/>
    </row>
    <row r="345" spans="1:18" x14ac:dyDescent="0.25">
      <c r="A345" s="214"/>
      <c r="B345" s="273">
        <f>+B344+1</f>
        <v>2</v>
      </c>
      <c r="C345" s="274">
        <f>-E337</f>
        <v>-788677.00926524459</v>
      </c>
      <c r="D345" s="87"/>
      <c r="E345" s="87"/>
      <c r="F345" s="87"/>
      <c r="G345" s="87"/>
      <c r="H345" s="87"/>
      <c r="I345" s="87"/>
      <c r="J345" s="87"/>
      <c r="K345" s="115"/>
      <c r="L345" s="107"/>
      <c r="M345" s="86"/>
      <c r="N345" s="107"/>
      <c r="O345" s="89"/>
      <c r="P345" s="107"/>
      <c r="R345" s="214"/>
    </row>
    <row r="346" spans="1:18" x14ac:dyDescent="0.25">
      <c r="A346" s="214"/>
      <c r="B346" s="273">
        <f>+B345+1</f>
        <v>3</v>
      </c>
      <c r="C346" s="274">
        <f>-E338</f>
        <v>-788677.00926524459</v>
      </c>
      <c r="D346" s="87"/>
      <c r="E346" s="87"/>
      <c r="F346" s="87"/>
      <c r="G346" s="87"/>
      <c r="H346" s="87"/>
      <c r="I346" s="87"/>
      <c r="J346" s="87"/>
      <c r="K346" s="115"/>
      <c r="L346" s="107"/>
      <c r="M346" s="89"/>
      <c r="N346" s="107"/>
      <c r="O346" s="89"/>
      <c r="P346" s="107"/>
      <c r="R346" s="214"/>
    </row>
    <row r="347" spans="1:18" x14ac:dyDescent="0.25">
      <c r="A347" s="214"/>
      <c r="B347" s="273">
        <f>+B346+1</f>
        <v>4</v>
      </c>
      <c r="C347" s="274">
        <f>-E339</f>
        <v>-788677.00926524459</v>
      </c>
      <c r="D347" s="87"/>
      <c r="E347" s="87"/>
      <c r="F347" s="87"/>
      <c r="G347" s="87"/>
      <c r="H347" s="87"/>
      <c r="I347" s="87"/>
      <c r="J347" s="87"/>
      <c r="K347" s="115"/>
      <c r="L347" s="107"/>
      <c r="M347" s="89"/>
      <c r="N347" s="107"/>
      <c r="O347" s="89"/>
      <c r="P347" s="107"/>
      <c r="R347" s="214"/>
    </row>
    <row r="348" spans="1:18" ht="16.5" thickBot="1" x14ac:dyDescent="0.3">
      <c r="A348" s="214"/>
      <c r="B348" s="275"/>
      <c r="C348" s="276">
        <f>IRR(C343:C347)</f>
        <v>0.12915946658188715</v>
      </c>
      <c r="D348" s="87"/>
      <c r="E348" s="87"/>
      <c r="F348" s="87"/>
      <c r="G348" s="87"/>
      <c r="H348" s="87"/>
      <c r="I348" s="87"/>
      <c r="J348" s="87"/>
      <c r="K348" s="115"/>
      <c r="L348" s="107"/>
      <c r="M348" s="89"/>
      <c r="N348" s="107"/>
      <c r="O348" s="89"/>
      <c r="P348" s="107"/>
      <c r="R348" s="214"/>
    </row>
    <row r="349" spans="1:18" ht="16.5" thickBot="1" x14ac:dyDescent="0.3">
      <c r="A349" s="214"/>
      <c r="B349" s="87"/>
      <c r="C349" s="277"/>
      <c r="D349" s="85"/>
      <c r="E349" s="87"/>
      <c r="F349" s="278"/>
      <c r="G349" s="278"/>
      <c r="H349" s="278"/>
      <c r="I349" s="87"/>
      <c r="J349" s="87"/>
      <c r="K349" s="115"/>
      <c r="L349" s="107"/>
      <c r="M349" s="89"/>
      <c r="N349" s="107"/>
      <c r="O349" s="89"/>
      <c r="P349" s="107"/>
      <c r="R349" s="214"/>
    </row>
    <row r="350" spans="1:18" x14ac:dyDescent="0.25">
      <c r="A350" s="214"/>
      <c r="B350" s="279" t="s">
        <v>308</v>
      </c>
      <c r="C350" s="280"/>
      <c r="D350" s="280"/>
      <c r="E350" s="280"/>
      <c r="F350" s="281"/>
      <c r="G350" s="282"/>
      <c r="H350" s="278"/>
      <c r="I350" s="87"/>
      <c r="J350" s="87"/>
      <c r="K350" s="115"/>
      <c r="L350" s="107"/>
      <c r="M350" s="89"/>
      <c r="N350" s="107"/>
      <c r="O350" s="89"/>
      <c r="P350" s="107"/>
      <c r="R350" s="214"/>
    </row>
    <row r="351" spans="1:18" ht="16.5" thickBot="1" x14ac:dyDescent="0.3">
      <c r="A351" s="214"/>
      <c r="B351" s="283"/>
      <c r="C351" s="284" t="s">
        <v>190</v>
      </c>
      <c r="D351" s="284" t="s">
        <v>188</v>
      </c>
      <c r="E351" s="284" t="s">
        <v>191</v>
      </c>
      <c r="F351" s="285" t="s">
        <v>192</v>
      </c>
      <c r="G351" s="286" t="s">
        <v>309</v>
      </c>
      <c r="H351" s="278"/>
      <c r="I351" s="87"/>
      <c r="J351" s="87"/>
      <c r="K351" s="115"/>
      <c r="L351" s="107"/>
      <c r="M351" s="89"/>
      <c r="N351" s="107"/>
      <c r="O351" s="89"/>
      <c r="P351" s="107"/>
      <c r="R351" s="214"/>
    </row>
    <row r="352" spans="1:18" x14ac:dyDescent="0.25">
      <c r="A352" s="214"/>
      <c r="B352" s="287">
        <v>1</v>
      </c>
      <c r="C352" s="112">
        <f>E330-E331</f>
        <v>2350000</v>
      </c>
      <c r="D352" s="104">
        <f>+C352*$C$348</f>
        <v>303524.7464674348</v>
      </c>
      <c r="E352" s="104">
        <f>-E336</f>
        <v>-788677.00926524459</v>
      </c>
      <c r="F352" s="288">
        <f>+C352+D352+E352</f>
        <v>1864847.7372021903</v>
      </c>
      <c r="G352" s="289">
        <f>+D352-D336</f>
        <v>53524.746467434801</v>
      </c>
      <c r="H352" s="278"/>
      <c r="I352" s="87"/>
      <c r="J352" s="87"/>
      <c r="K352" s="115"/>
      <c r="L352" s="107"/>
      <c r="M352" s="89"/>
      <c r="N352" s="107"/>
      <c r="O352" s="89"/>
      <c r="P352" s="107"/>
      <c r="R352" s="214"/>
    </row>
    <row r="353" spans="1:18" x14ac:dyDescent="0.25">
      <c r="A353" s="214"/>
      <c r="B353" s="287">
        <v>2</v>
      </c>
      <c r="C353" s="112">
        <f>+F352</f>
        <v>1864847.7372021903</v>
      </c>
      <c r="D353" s="104">
        <f>+C353*$C$348</f>
        <v>240862.73899347417</v>
      </c>
      <c r="E353" s="104">
        <f>-E337</f>
        <v>-788677.00926524459</v>
      </c>
      <c r="F353" s="288">
        <f>+C353+D353+E353</f>
        <v>1317033.4669304201</v>
      </c>
      <c r="G353" s="290">
        <f>+D353-D337</f>
        <v>44730.439919998636</v>
      </c>
      <c r="H353" s="278"/>
      <c r="I353" s="87"/>
      <c r="J353" s="87"/>
      <c r="K353" s="115"/>
      <c r="L353" s="107"/>
      <c r="M353" s="89"/>
      <c r="N353" s="107"/>
      <c r="O353" s="89"/>
      <c r="P353" s="107"/>
      <c r="R353" s="214"/>
    </row>
    <row r="354" spans="1:18" x14ac:dyDescent="0.25">
      <c r="A354" s="214"/>
      <c r="B354" s="287">
        <v>3</v>
      </c>
      <c r="C354" s="112">
        <f>+F353</f>
        <v>1317033.4669304201</v>
      </c>
      <c r="D354" s="104">
        <f>+C354*$C$348</f>
        <v>170107.34005922658</v>
      </c>
      <c r="E354" s="104">
        <f>-E338</f>
        <v>-788677.00926524459</v>
      </c>
      <c r="F354" s="288">
        <f>+C354+D354+E354</f>
        <v>698463.79772440216</v>
      </c>
      <c r="G354" s="290">
        <f>+D354-D338</f>
        <v>33229.512004927965</v>
      </c>
      <c r="H354" s="278"/>
      <c r="I354" s="87"/>
      <c r="J354" s="87"/>
      <c r="K354" s="115"/>
      <c r="L354" s="107"/>
      <c r="M354" s="89"/>
      <c r="N354" s="107"/>
      <c r="O354" s="89"/>
      <c r="P354" s="107"/>
      <c r="R354" s="214"/>
    </row>
    <row r="355" spans="1:18" ht="16.5" thickBot="1" x14ac:dyDescent="0.3">
      <c r="A355" s="214"/>
      <c r="B355" s="287">
        <v>4</v>
      </c>
      <c r="C355" s="112">
        <f>+F354</f>
        <v>698463.79772440216</v>
      </c>
      <c r="D355" s="104">
        <f>+C355*$C$348</f>
        <v>90213.211540842909</v>
      </c>
      <c r="E355" s="104">
        <f>-E339</f>
        <v>-788677.00926524459</v>
      </c>
      <c r="F355" s="291">
        <f>+C355+D355+E355</f>
        <v>0</v>
      </c>
      <c r="G355" s="292">
        <f>+D355-D339</f>
        <v>18515.301607638859</v>
      </c>
      <c r="H355" s="278"/>
      <c r="I355" s="87"/>
      <c r="J355" s="87"/>
      <c r="K355" s="115"/>
      <c r="L355" s="107"/>
      <c r="M355" s="89"/>
      <c r="N355" s="107"/>
      <c r="O355" s="89"/>
      <c r="P355" s="107"/>
      <c r="R355" s="214"/>
    </row>
    <row r="356" spans="1:18" ht="16.5" thickBot="1" x14ac:dyDescent="0.3">
      <c r="A356" s="214"/>
      <c r="B356" s="293"/>
      <c r="C356" s="294"/>
      <c r="D356" s="295">
        <f>+SUM(D352:D355)</f>
        <v>804708.03706097847</v>
      </c>
      <c r="E356" s="296">
        <f>+D356-D340</f>
        <v>150000.00000000023</v>
      </c>
      <c r="F356" s="297"/>
      <c r="G356" s="298">
        <f>+SUM(G352:G355)</f>
        <v>150000.00000000026</v>
      </c>
      <c r="H356" s="278"/>
      <c r="I356" s="87"/>
      <c r="J356" s="87"/>
      <c r="K356" s="115"/>
      <c r="L356" s="107"/>
      <c r="M356" s="89"/>
      <c r="N356" s="107"/>
      <c r="O356" s="89"/>
      <c r="P356" s="107"/>
      <c r="R356" s="214"/>
    </row>
    <row r="357" spans="1:18" x14ac:dyDescent="0.25">
      <c r="A357" s="214"/>
      <c r="B357" s="87"/>
      <c r="C357" s="277"/>
      <c r="D357" s="85"/>
      <c r="E357" s="87"/>
      <c r="F357" s="278"/>
      <c r="G357" s="278"/>
      <c r="H357" s="278"/>
      <c r="I357" s="87"/>
      <c r="J357" s="87"/>
      <c r="K357" s="115"/>
      <c r="L357" s="107"/>
      <c r="M357" s="89"/>
      <c r="N357" s="107"/>
      <c r="O357" s="89"/>
      <c r="P357" s="107"/>
      <c r="R357" s="214"/>
    </row>
    <row r="358" spans="1:18" ht="16.5" thickBot="1" x14ac:dyDescent="0.3">
      <c r="A358" s="214"/>
      <c r="B358" s="87"/>
      <c r="C358" s="87"/>
      <c r="D358" s="87"/>
      <c r="E358" s="212">
        <f>+F358+1</f>
        <v>2025</v>
      </c>
      <c r="F358" s="212">
        <f>+G358+1</f>
        <v>2024</v>
      </c>
      <c r="G358" s="212">
        <v>2023</v>
      </c>
      <c r="H358" s="278"/>
      <c r="I358" s="87"/>
      <c r="J358" s="87"/>
      <c r="K358" s="115"/>
      <c r="L358" s="107"/>
      <c r="M358" s="89"/>
      <c r="N358" s="107"/>
      <c r="O358" s="89"/>
      <c r="P358" s="107"/>
      <c r="R358" s="214"/>
    </row>
    <row r="359" spans="1:18" x14ac:dyDescent="0.25">
      <c r="A359" s="214"/>
      <c r="B359" s="299" t="s">
        <v>193</v>
      </c>
      <c r="C359" s="300"/>
      <c r="D359" s="300"/>
      <c r="E359" s="301">
        <f>+C339</f>
        <v>716979.09933204053</v>
      </c>
      <c r="F359" s="301">
        <f>+C338+C339</f>
        <v>1368778.2805429865</v>
      </c>
      <c r="G359" s="302">
        <f>C337+C338+C339</f>
        <v>1961322.9907347555</v>
      </c>
      <c r="H359" s="278"/>
      <c r="I359" s="87"/>
      <c r="J359" s="87"/>
      <c r="K359" s="115"/>
      <c r="L359" s="107"/>
      <c r="M359" s="89"/>
      <c r="N359" s="107"/>
      <c r="O359" s="89"/>
      <c r="P359" s="107"/>
      <c r="R359" s="214"/>
    </row>
    <row r="360" spans="1:18" ht="16.5" thickBot="1" x14ac:dyDescent="0.3">
      <c r="A360" s="214"/>
      <c r="B360" s="303" t="s">
        <v>194</v>
      </c>
      <c r="C360" s="304"/>
      <c r="D360" s="304"/>
      <c r="E360" s="305">
        <f>+C355</f>
        <v>698463.79772440216</v>
      </c>
      <c r="F360" s="305">
        <f>+C354</f>
        <v>1317033.4669304201</v>
      </c>
      <c r="G360" s="306">
        <f>+C353</f>
        <v>1864847.7372021903</v>
      </c>
      <c r="H360" s="278"/>
      <c r="I360" s="87"/>
      <c r="J360" s="87"/>
      <c r="K360" s="115"/>
      <c r="L360" s="107"/>
      <c r="M360" s="89"/>
      <c r="N360" s="107"/>
      <c r="O360" s="89"/>
      <c r="P360" s="107"/>
      <c r="R360" s="214"/>
    </row>
    <row r="361" spans="1:18" ht="16.5" thickBot="1" x14ac:dyDescent="0.3">
      <c r="A361" s="214"/>
      <c r="B361" s="307" t="s">
        <v>131</v>
      </c>
      <c r="C361" s="308"/>
      <c r="D361" s="308"/>
      <c r="E361" s="295">
        <f>+E359-E360</f>
        <v>18515.301607638365</v>
      </c>
      <c r="F361" s="295">
        <f t="shared" ref="F361" si="53">+F359-F360</f>
        <v>51744.81361256633</v>
      </c>
      <c r="G361" s="309">
        <f>+G359-G360</f>
        <v>96475.253532565199</v>
      </c>
      <c r="H361" s="278"/>
      <c r="I361" s="87"/>
      <c r="J361" s="87"/>
      <c r="K361" s="115"/>
      <c r="L361" s="107"/>
      <c r="M361" s="89"/>
      <c r="N361" s="107"/>
      <c r="O361" s="89"/>
      <c r="P361" s="107"/>
      <c r="R361" s="214"/>
    </row>
    <row r="362" spans="1:18" x14ac:dyDescent="0.25">
      <c r="A362" s="214"/>
      <c r="B362" s="87"/>
      <c r="C362" s="277"/>
      <c r="D362" s="85"/>
      <c r="E362" s="87"/>
      <c r="F362" s="278"/>
      <c r="G362" s="278"/>
      <c r="H362" s="278"/>
      <c r="I362" s="87"/>
      <c r="J362" s="87"/>
      <c r="K362" s="115"/>
      <c r="L362" s="107"/>
      <c r="M362" s="89"/>
      <c r="N362" s="107"/>
      <c r="O362" s="89"/>
      <c r="P362" s="107"/>
      <c r="R362" s="214"/>
    </row>
    <row r="363" spans="1:18" x14ac:dyDescent="0.25">
      <c r="A363" s="214"/>
      <c r="B363" s="85" t="s">
        <v>381</v>
      </c>
      <c r="C363" s="277"/>
      <c r="D363" s="85"/>
      <c r="E363" s="87"/>
      <c r="F363" s="278"/>
      <c r="G363" s="278"/>
      <c r="H363" s="278"/>
      <c r="I363" s="87"/>
      <c r="J363" s="87"/>
      <c r="K363" s="115"/>
      <c r="L363" s="107"/>
      <c r="M363" s="89"/>
      <c r="N363" s="107"/>
      <c r="O363" s="89"/>
      <c r="P363" s="107"/>
      <c r="R363" s="214"/>
    </row>
    <row r="364" spans="1:18" s="213" customFormat="1" x14ac:dyDescent="0.25">
      <c r="A364" s="214"/>
      <c r="B364" s="85" t="s">
        <v>32</v>
      </c>
      <c r="C364" s="277"/>
      <c r="D364" s="85"/>
      <c r="E364" s="85"/>
      <c r="F364" s="85"/>
      <c r="G364" s="85"/>
      <c r="H364" s="85"/>
      <c r="I364" s="85"/>
      <c r="J364" s="85"/>
      <c r="K364" s="114"/>
      <c r="L364" s="108"/>
      <c r="M364" s="86"/>
      <c r="N364" s="108"/>
      <c r="O364" s="86"/>
      <c r="P364" s="108"/>
      <c r="Q364" s="46"/>
      <c r="R364" s="214"/>
    </row>
    <row r="365" spans="1:18" x14ac:dyDescent="0.25">
      <c r="A365" s="87"/>
      <c r="B365" s="111" t="s">
        <v>99</v>
      </c>
      <c r="C365" s="277"/>
      <c r="D365" s="85"/>
      <c r="E365" s="87"/>
      <c r="F365" s="87"/>
      <c r="G365" s="87"/>
      <c r="H365" s="87">
        <f t="shared" ref="H365:H367" si="54">IF(A365=0,0,1)</f>
        <v>0</v>
      </c>
      <c r="I365" s="87"/>
      <c r="J365" s="87"/>
      <c r="K365" s="115">
        <f>+M365+M366</f>
        <v>4000000</v>
      </c>
      <c r="L365" s="107"/>
      <c r="M365" s="89">
        <f>+O365</f>
        <v>3200000</v>
      </c>
      <c r="N365" s="107"/>
      <c r="O365" s="89">
        <f>+G371</f>
        <v>3200000</v>
      </c>
      <c r="P365" s="107"/>
      <c r="R365" s="87" t="s">
        <v>98</v>
      </c>
    </row>
    <row r="366" spans="1:18" x14ac:dyDescent="0.25">
      <c r="A366" s="87"/>
      <c r="B366" s="111" t="s">
        <v>107</v>
      </c>
      <c r="C366" s="277"/>
      <c r="D366" s="85"/>
      <c r="E366" s="87"/>
      <c r="F366" s="87"/>
      <c r="G366" s="87"/>
      <c r="H366" s="87">
        <f t="shared" si="54"/>
        <v>0</v>
      </c>
      <c r="I366" s="87"/>
      <c r="J366" s="87"/>
      <c r="K366" s="115">
        <f>+L367-K365</f>
        <v>700000</v>
      </c>
      <c r="L366" s="107"/>
      <c r="M366" s="89">
        <f>+N367-M365</f>
        <v>800000</v>
      </c>
      <c r="N366" s="107"/>
      <c r="O366" s="89"/>
      <c r="P366" s="107"/>
      <c r="R366" s="87" t="s">
        <v>106</v>
      </c>
    </row>
    <row r="367" spans="1:18" x14ac:dyDescent="0.25">
      <c r="A367" s="87"/>
      <c r="B367" s="226" t="s">
        <v>63</v>
      </c>
      <c r="C367" s="277"/>
      <c r="D367" s="85"/>
      <c r="E367" s="87"/>
      <c r="F367" s="87"/>
      <c r="G367" s="87"/>
      <c r="H367" s="87">
        <f t="shared" si="54"/>
        <v>0</v>
      </c>
      <c r="I367" s="87"/>
      <c r="J367" s="87"/>
      <c r="K367" s="115"/>
      <c r="L367" s="107">
        <f>+F373</f>
        <v>4700000</v>
      </c>
      <c r="M367" s="89"/>
      <c r="N367" s="107">
        <f>+G373</f>
        <v>4000000</v>
      </c>
      <c r="O367" s="89"/>
      <c r="P367" s="107">
        <f>+O365</f>
        <v>3200000</v>
      </c>
      <c r="R367" s="87" t="s">
        <v>62</v>
      </c>
    </row>
    <row r="368" spans="1:18" x14ac:dyDescent="0.25">
      <c r="A368" s="214"/>
      <c r="B368" s="87"/>
      <c r="C368" s="87"/>
      <c r="D368" s="87"/>
      <c r="E368" s="87"/>
      <c r="F368" s="87"/>
      <c r="G368" s="87"/>
      <c r="H368" s="87"/>
      <c r="I368" s="87"/>
      <c r="J368" s="87"/>
      <c r="K368" s="115"/>
      <c r="L368" s="107"/>
      <c r="M368" s="89"/>
      <c r="N368" s="107"/>
      <c r="O368" s="89"/>
      <c r="P368" s="107"/>
      <c r="R368" s="214"/>
    </row>
    <row r="369" spans="1:18" x14ac:dyDescent="0.25">
      <c r="A369" s="214"/>
      <c r="B369" s="87"/>
      <c r="C369" s="85"/>
      <c r="D369" s="87"/>
      <c r="E369" s="87"/>
      <c r="F369" s="212">
        <v>2025</v>
      </c>
      <c r="G369" s="212">
        <v>2024</v>
      </c>
      <c r="H369" s="87"/>
      <c r="I369" s="87"/>
      <c r="J369" s="87"/>
      <c r="K369" s="115"/>
      <c r="L369" s="107"/>
      <c r="M369" s="89"/>
      <c r="N369" s="107"/>
      <c r="O369" s="89"/>
      <c r="P369" s="107"/>
      <c r="R369" s="214"/>
    </row>
    <row r="370" spans="1:18" x14ac:dyDescent="0.25">
      <c r="A370" s="214"/>
      <c r="B370" s="87"/>
      <c r="C370" s="85"/>
      <c r="D370" s="87"/>
      <c r="E370" s="87"/>
      <c r="F370" s="212" t="s">
        <v>127</v>
      </c>
      <c r="G370" s="212" t="s">
        <v>127</v>
      </c>
      <c r="H370" s="87"/>
      <c r="I370" s="87"/>
      <c r="J370" s="87"/>
      <c r="K370" s="115"/>
      <c r="L370" s="107"/>
      <c r="M370" s="89"/>
      <c r="N370" s="107"/>
      <c r="O370" s="89"/>
      <c r="P370" s="107"/>
      <c r="R370" s="214"/>
    </row>
    <row r="371" spans="1:18" x14ac:dyDescent="0.25">
      <c r="A371" s="214"/>
      <c r="B371" s="87"/>
      <c r="C371" s="85" t="s">
        <v>123</v>
      </c>
      <c r="D371" s="87"/>
      <c r="E371" s="87"/>
      <c r="F371" s="228">
        <f>+G373</f>
        <v>4000000</v>
      </c>
      <c r="G371" s="228">
        <v>3200000</v>
      </c>
      <c r="H371" s="87"/>
      <c r="I371" s="87"/>
      <c r="J371" s="87"/>
      <c r="K371" s="115"/>
      <c r="L371" s="107"/>
      <c r="M371" s="89"/>
      <c r="N371" s="107"/>
      <c r="O371" s="89"/>
      <c r="P371" s="107"/>
      <c r="R371" s="214"/>
    </row>
    <row r="372" spans="1:18" x14ac:dyDescent="0.25">
      <c r="A372" s="214"/>
      <c r="B372" s="87"/>
      <c r="C372" s="87" t="s">
        <v>195</v>
      </c>
      <c r="D372" s="87"/>
      <c r="E372" s="87"/>
      <c r="F372" s="225">
        <v>700000</v>
      </c>
      <c r="G372" s="225">
        <v>800000</v>
      </c>
      <c r="H372" s="87"/>
      <c r="I372" s="87"/>
      <c r="J372" s="87"/>
      <c r="K372" s="115"/>
      <c r="L372" s="107"/>
      <c r="M372" s="89"/>
      <c r="N372" s="107"/>
      <c r="O372" s="89"/>
      <c r="P372" s="107"/>
      <c r="R372" s="214"/>
    </row>
    <row r="373" spans="1:18" x14ac:dyDescent="0.25">
      <c r="A373" s="214"/>
      <c r="B373" s="87"/>
      <c r="C373" s="251" t="s">
        <v>126</v>
      </c>
      <c r="D373" s="252"/>
      <c r="E373" s="252"/>
      <c r="F373" s="253">
        <f>+F371+F372</f>
        <v>4700000</v>
      </c>
      <c r="G373" s="253">
        <f>+G371+G372</f>
        <v>4000000</v>
      </c>
      <c r="H373" s="87"/>
      <c r="I373" s="87"/>
      <c r="J373" s="87"/>
      <c r="K373" s="115"/>
      <c r="L373" s="107"/>
      <c r="M373" s="89"/>
      <c r="N373" s="107"/>
      <c r="O373" s="89"/>
      <c r="P373" s="107"/>
      <c r="R373" s="214"/>
    </row>
    <row r="374" spans="1:18" x14ac:dyDescent="0.25">
      <c r="A374" s="87"/>
      <c r="B374" s="87"/>
      <c r="C374" s="87"/>
      <c r="D374" s="87"/>
      <c r="E374" s="87"/>
      <c r="F374" s="87"/>
      <c r="G374" s="87"/>
      <c r="H374" s="87"/>
      <c r="I374" s="87"/>
      <c r="J374" s="87"/>
      <c r="K374" s="115"/>
      <c r="L374" s="107"/>
      <c r="M374" s="89"/>
      <c r="N374" s="107"/>
      <c r="O374" s="89"/>
      <c r="P374" s="107"/>
      <c r="R374" s="87"/>
    </row>
    <row r="375" spans="1:18" x14ac:dyDescent="0.25">
      <c r="A375" s="87"/>
      <c r="B375" s="85" t="s">
        <v>381</v>
      </c>
      <c r="C375" s="87"/>
      <c r="D375" s="87"/>
      <c r="E375" s="87"/>
      <c r="F375" s="87"/>
      <c r="G375" s="87"/>
      <c r="H375" s="87"/>
      <c r="I375" s="87"/>
      <c r="J375" s="87"/>
      <c r="K375" s="115"/>
      <c r="L375" s="107"/>
      <c r="M375" s="89"/>
      <c r="N375" s="107"/>
      <c r="O375" s="89"/>
      <c r="P375" s="107"/>
      <c r="R375" s="87"/>
    </row>
    <row r="376" spans="1:18" s="213" customFormat="1" x14ac:dyDescent="0.25">
      <c r="A376" s="87"/>
      <c r="B376" s="85" t="s">
        <v>392</v>
      </c>
      <c r="C376" s="87"/>
      <c r="D376" s="87"/>
      <c r="E376" s="87"/>
      <c r="F376" s="85"/>
      <c r="G376" s="85"/>
      <c r="H376" s="85"/>
      <c r="I376" s="85"/>
      <c r="J376" s="85"/>
      <c r="K376" s="114"/>
      <c r="L376" s="108"/>
      <c r="M376" s="86"/>
      <c r="N376" s="108"/>
      <c r="O376" s="86"/>
      <c r="P376" s="108"/>
      <c r="Q376" s="46"/>
      <c r="R376" s="87"/>
    </row>
    <row r="377" spans="1:18" s="213" customFormat="1" x14ac:dyDescent="0.25">
      <c r="A377" s="85"/>
      <c r="B377" s="85" t="s">
        <v>393</v>
      </c>
      <c r="C377" s="87"/>
      <c r="D377" s="87"/>
      <c r="E377" s="87"/>
      <c r="F377" s="85"/>
      <c r="G377" s="85"/>
      <c r="H377" s="85"/>
      <c r="I377" s="85"/>
      <c r="J377" s="85"/>
      <c r="K377" s="114"/>
      <c r="L377" s="108"/>
      <c r="M377" s="86"/>
      <c r="N377" s="108"/>
      <c r="O377" s="86"/>
      <c r="P377" s="108"/>
      <c r="Q377" s="46"/>
      <c r="R377" s="85"/>
    </row>
    <row r="378" spans="1:18" x14ac:dyDescent="0.25">
      <c r="A378" s="87"/>
      <c r="B378" s="226" t="s">
        <v>63</v>
      </c>
      <c r="C378" s="87"/>
      <c r="D378" s="87"/>
      <c r="E378" s="87"/>
      <c r="F378" s="87"/>
      <c r="G378" s="87"/>
      <c r="H378" s="87">
        <f t="shared" ref="H378:H379" si="55">IF(A378=0,0,1)</f>
        <v>0</v>
      </c>
      <c r="I378" s="87"/>
      <c r="J378" s="87"/>
      <c r="K378" s="115">
        <v>1650000</v>
      </c>
      <c r="L378" s="107"/>
      <c r="M378" s="89">
        <v>1800000</v>
      </c>
      <c r="N378" s="107"/>
      <c r="O378" s="89">
        <v>2000000</v>
      </c>
      <c r="P378" s="107"/>
      <c r="R378" s="87" t="s">
        <v>62</v>
      </c>
    </row>
    <row r="379" spans="1:18" x14ac:dyDescent="0.25">
      <c r="A379" s="87"/>
      <c r="B379" s="111" t="s">
        <v>209</v>
      </c>
      <c r="C379" s="87"/>
      <c r="D379" s="87"/>
      <c r="E379" s="87"/>
      <c r="F379" s="87"/>
      <c r="G379" s="87"/>
      <c r="H379" s="87">
        <f t="shared" si="55"/>
        <v>0</v>
      </c>
      <c r="I379" s="87"/>
      <c r="J379" s="87"/>
      <c r="K379" s="115"/>
      <c r="L379" s="107">
        <f>+K378</f>
        <v>1650000</v>
      </c>
      <c r="M379" s="89"/>
      <c r="N379" s="107">
        <f>+M378</f>
        <v>1800000</v>
      </c>
      <c r="O379" s="89"/>
      <c r="P379" s="107">
        <f>+O378</f>
        <v>2000000</v>
      </c>
      <c r="R379" s="87" t="s">
        <v>181</v>
      </c>
    </row>
    <row r="380" spans="1:18" x14ac:dyDescent="0.25">
      <c r="A380" s="87"/>
      <c r="B380" s="111"/>
      <c r="C380" s="87"/>
      <c r="D380" s="87"/>
      <c r="E380" s="87"/>
      <c r="F380" s="87"/>
      <c r="G380" s="87"/>
      <c r="H380" s="87"/>
      <c r="I380" s="87"/>
      <c r="J380" s="87"/>
      <c r="K380" s="115"/>
      <c r="L380" s="107"/>
      <c r="M380" s="89"/>
      <c r="N380" s="107"/>
      <c r="O380" s="89"/>
      <c r="P380" s="107"/>
      <c r="R380" s="87"/>
    </row>
    <row r="381" spans="1:18" x14ac:dyDescent="0.25">
      <c r="A381" s="87"/>
      <c r="B381" s="85" t="s">
        <v>17</v>
      </c>
      <c r="C381" s="87"/>
      <c r="D381" s="87"/>
      <c r="E381" s="87"/>
      <c r="F381" s="87"/>
      <c r="G381" s="87"/>
      <c r="H381" s="87"/>
      <c r="I381" s="87"/>
      <c r="J381" s="87"/>
      <c r="K381" s="115"/>
      <c r="L381" s="107"/>
      <c r="M381" s="89"/>
      <c r="N381" s="107"/>
      <c r="O381" s="89"/>
      <c r="P381" s="107"/>
      <c r="R381" s="87"/>
    </row>
    <row r="382" spans="1:18" s="213" customFormat="1" x14ac:dyDescent="0.25">
      <c r="A382" s="87"/>
      <c r="B382" s="85" t="s">
        <v>30</v>
      </c>
      <c r="C382" s="87"/>
      <c r="D382" s="87"/>
      <c r="E382" s="87"/>
      <c r="F382" s="85"/>
      <c r="G382" s="85"/>
      <c r="H382" s="85"/>
      <c r="I382" s="85"/>
      <c r="J382" s="85"/>
      <c r="K382" s="114"/>
      <c r="L382" s="108"/>
      <c r="M382" s="86"/>
      <c r="N382" s="108"/>
      <c r="O382" s="86"/>
      <c r="P382" s="108"/>
      <c r="Q382" s="46"/>
      <c r="R382" s="87"/>
    </row>
    <row r="383" spans="1:18" x14ac:dyDescent="0.25">
      <c r="A383" s="87"/>
      <c r="B383" s="111" t="s">
        <v>197</v>
      </c>
      <c r="C383" s="87"/>
      <c r="D383" s="87"/>
      <c r="E383" s="87"/>
      <c r="F383" s="87"/>
      <c r="G383" s="87"/>
      <c r="H383" s="87">
        <f t="shared" ref="H383:H384" si="56">IF(A383=0,0,1)</f>
        <v>0</v>
      </c>
      <c r="I383" s="87"/>
      <c r="J383" s="87"/>
      <c r="K383" s="115">
        <f>+M383</f>
        <v>3000000</v>
      </c>
      <c r="L383" s="107"/>
      <c r="M383" s="89">
        <f>+O383</f>
        <v>3000000</v>
      </c>
      <c r="N383" s="107"/>
      <c r="O383" s="89">
        <v>3000000</v>
      </c>
      <c r="P383" s="107"/>
      <c r="R383" s="87" t="s">
        <v>196</v>
      </c>
    </row>
    <row r="384" spans="1:18" x14ac:dyDescent="0.25">
      <c r="A384" s="87"/>
      <c r="B384" s="111" t="s">
        <v>137</v>
      </c>
      <c r="C384" s="87"/>
      <c r="D384" s="87"/>
      <c r="E384" s="87"/>
      <c r="F384" s="225"/>
      <c r="G384" s="87"/>
      <c r="H384" s="87">
        <f t="shared" si="56"/>
        <v>0</v>
      </c>
      <c r="I384" s="87"/>
      <c r="J384" s="87"/>
      <c r="K384" s="115"/>
      <c r="L384" s="107">
        <f>+K383</f>
        <v>3000000</v>
      </c>
      <c r="M384" s="89"/>
      <c r="N384" s="107">
        <f>+M383</f>
        <v>3000000</v>
      </c>
      <c r="O384" s="89"/>
      <c r="P384" s="107">
        <f>+O383</f>
        <v>3000000</v>
      </c>
      <c r="R384" s="87" t="s">
        <v>79</v>
      </c>
    </row>
    <row r="385" spans="1:18" x14ac:dyDescent="0.25">
      <c r="A385" s="87"/>
      <c r="B385" s="111"/>
      <c r="C385" s="87"/>
      <c r="D385" s="87"/>
      <c r="E385" s="87"/>
      <c r="F385" s="225"/>
      <c r="G385" s="87"/>
      <c r="H385" s="87"/>
      <c r="I385" s="87"/>
      <c r="J385" s="87"/>
      <c r="K385" s="115"/>
      <c r="L385" s="107"/>
      <c r="M385" s="89"/>
      <c r="N385" s="107"/>
      <c r="O385" s="89"/>
      <c r="P385" s="107"/>
      <c r="R385" s="87"/>
    </row>
    <row r="386" spans="1:18" hidden="1" x14ac:dyDescent="0.25">
      <c r="B386" s="85"/>
      <c r="C386" s="87"/>
      <c r="D386" s="87"/>
      <c r="E386" s="87"/>
      <c r="F386" s="87"/>
      <c r="G386" s="87"/>
      <c r="H386" s="87"/>
      <c r="I386" s="87"/>
      <c r="J386" s="87"/>
      <c r="K386" s="115"/>
      <c r="L386" s="107"/>
      <c r="M386" s="89"/>
      <c r="N386" s="107"/>
      <c r="O386" s="89"/>
      <c r="P386" s="107"/>
    </row>
    <row r="387" spans="1:18" s="213" customFormat="1" hidden="1" x14ac:dyDescent="0.25">
      <c r="A387" s="33"/>
      <c r="B387" s="85"/>
      <c r="C387" s="87"/>
      <c r="D387" s="87"/>
      <c r="E387" s="87"/>
      <c r="F387" s="85"/>
      <c r="G387" s="85"/>
      <c r="H387" s="85"/>
      <c r="I387" s="85"/>
      <c r="J387" s="85"/>
      <c r="K387" s="114"/>
      <c r="L387" s="108"/>
      <c r="M387" s="86"/>
      <c r="N387" s="108"/>
      <c r="O387" s="86"/>
      <c r="P387" s="108"/>
      <c r="Q387" s="46"/>
      <c r="R387" s="33"/>
    </row>
    <row r="388" spans="1:18" s="213" customFormat="1" hidden="1" x14ac:dyDescent="0.25">
      <c r="A388" s="85"/>
      <c r="B388" s="85"/>
      <c r="C388" s="87"/>
      <c r="D388" s="87"/>
      <c r="E388" s="87"/>
      <c r="F388" s="85"/>
      <c r="G388" s="85"/>
      <c r="H388" s="85"/>
      <c r="I388" s="85"/>
      <c r="J388" s="85"/>
      <c r="K388" s="114"/>
      <c r="L388" s="108"/>
      <c r="M388" s="86"/>
      <c r="N388" s="108"/>
      <c r="O388" s="86"/>
      <c r="P388" s="108"/>
      <c r="Q388" s="46"/>
      <c r="R388" s="85"/>
    </row>
    <row r="389" spans="1:18" s="213" customFormat="1" hidden="1" x14ac:dyDescent="0.25">
      <c r="A389" s="87"/>
      <c r="B389" s="111"/>
      <c r="C389" s="87"/>
      <c r="D389" s="87"/>
      <c r="E389" s="87"/>
      <c r="F389" s="85"/>
      <c r="G389" s="85"/>
      <c r="H389" s="87"/>
      <c r="I389" s="85"/>
      <c r="J389" s="85"/>
      <c r="K389" s="115"/>
      <c r="L389" s="107"/>
      <c r="M389" s="89"/>
      <c r="N389" s="107"/>
      <c r="O389" s="89"/>
      <c r="P389" s="107"/>
      <c r="Q389" s="46"/>
      <c r="R389" s="87"/>
    </row>
    <row r="390" spans="1:18" s="213" customFormat="1" hidden="1" x14ac:dyDescent="0.25">
      <c r="A390" s="87"/>
      <c r="B390" s="111"/>
      <c r="C390" s="87"/>
      <c r="D390" s="87"/>
      <c r="E390" s="87"/>
      <c r="F390" s="85"/>
      <c r="G390" s="85"/>
      <c r="H390" s="87"/>
      <c r="I390" s="85"/>
      <c r="J390" s="85"/>
      <c r="K390" s="115"/>
      <c r="L390" s="107"/>
      <c r="M390" s="89"/>
      <c r="N390" s="107"/>
      <c r="O390" s="89"/>
      <c r="P390" s="107"/>
      <c r="Q390" s="46"/>
      <c r="R390" s="87"/>
    </row>
    <row r="391" spans="1:18" s="213" customFormat="1" hidden="1" x14ac:dyDescent="0.25">
      <c r="A391" s="87"/>
      <c r="B391" s="111"/>
      <c r="C391" s="87"/>
      <c r="D391" s="87"/>
      <c r="E391" s="87"/>
      <c r="F391" s="85"/>
      <c r="G391" s="85"/>
      <c r="H391" s="87"/>
      <c r="I391" s="85"/>
      <c r="J391" s="85"/>
      <c r="K391" s="115"/>
      <c r="L391" s="107"/>
      <c r="M391" s="89"/>
      <c r="N391" s="107"/>
      <c r="O391" s="86"/>
      <c r="P391" s="108"/>
      <c r="Q391" s="46"/>
      <c r="R391" s="87"/>
    </row>
    <row r="392" spans="1:18" s="213" customFormat="1" hidden="1" x14ac:dyDescent="0.25">
      <c r="A392" s="212"/>
      <c r="B392" s="85"/>
      <c r="C392" s="85"/>
      <c r="D392" s="87"/>
      <c r="E392" s="212"/>
      <c r="F392" s="212"/>
      <c r="G392" s="212"/>
      <c r="H392" s="85"/>
      <c r="I392" s="85"/>
      <c r="J392" s="85"/>
      <c r="K392" s="114"/>
      <c r="L392" s="108"/>
      <c r="M392" s="86"/>
      <c r="N392" s="108"/>
      <c r="O392" s="86"/>
      <c r="P392" s="108"/>
      <c r="Q392" s="46"/>
      <c r="R392" s="212"/>
    </row>
    <row r="393" spans="1:18" s="213" customFormat="1" hidden="1" x14ac:dyDescent="0.25">
      <c r="A393" s="212"/>
      <c r="B393" s="85"/>
      <c r="C393" s="85"/>
      <c r="D393" s="87"/>
      <c r="E393" s="212"/>
      <c r="F393" s="212"/>
      <c r="G393" s="212"/>
      <c r="H393" s="85"/>
      <c r="I393" s="85"/>
      <c r="J393" s="85"/>
      <c r="K393" s="114"/>
      <c r="L393" s="108"/>
      <c r="M393" s="86"/>
      <c r="N393" s="108"/>
      <c r="O393" s="86"/>
      <c r="P393" s="108"/>
      <c r="Q393" s="46"/>
      <c r="R393" s="212"/>
    </row>
    <row r="394" spans="1:18" s="213" customFormat="1" hidden="1" x14ac:dyDescent="0.25">
      <c r="A394" s="212"/>
      <c r="B394" s="85"/>
      <c r="C394" s="85"/>
      <c r="D394" s="87"/>
      <c r="E394" s="225"/>
      <c r="F394" s="225"/>
      <c r="G394" s="225"/>
      <c r="H394" s="85"/>
      <c r="I394" s="85"/>
      <c r="J394" s="85"/>
      <c r="K394" s="114"/>
      <c r="L394" s="108"/>
      <c r="M394" s="86"/>
      <c r="N394" s="108"/>
      <c r="O394" s="86"/>
      <c r="P394" s="108"/>
      <c r="Q394" s="46"/>
      <c r="R394" s="212"/>
    </row>
    <row r="395" spans="1:18" s="213" customFormat="1" hidden="1" x14ac:dyDescent="0.25">
      <c r="A395" s="212"/>
      <c r="B395" s="85"/>
      <c r="C395" s="85"/>
      <c r="D395" s="87"/>
      <c r="E395" s="225"/>
      <c r="F395" s="225"/>
      <c r="G395" s="225"/>
      <c r="H395" s="85"/>
      <c r="I395" s="85"/>
      <c r="J395" s="85"/>
      <c r="K395" s="114"/>
      <c r="L395" s="108"/>
      <c r="M395" s="86"/>
      <c r="N395" s="108"/>
      <c r="O395" s="86"/>
      <c r="P395" s="108"/>
      <c r="Q395" s="46"/>
      <c r="R395" s="212"/>
    </row>
    <row r="396" spans="1:18" s="213" customFormat="1" hidden="1" x14ac:dyDescent="0.25">
      <c r="A396" s="212"/>
      <c r="B396" s="85"/>
      <c r="C396" s="310"/>
      <c r="D396" s="311"/>
      <c r="E396" s="312"/>
      <c r="F396" s="312"/>
      <c r="G396" s="313"/>
      <c r="H396" s="85"/>
      <c r="I396" s="85"/>
      <c r="J396" s="85"/>
      <c r="K396" s="114"/>
      <c r="L396" s="108"/>
      <c r="M396" s="86"/>
      <c r="N396" s="108"/>
      <c r="O396" s="86"/>
      <c r="P396" s="108"/>
      <c r="Q396" s="46"/>
      <c r="R396" s="212"/>
    </row>
    <row r="397" spans="1:18" s="213" customFormat="1" x14ac:dyDescent="0.25">
      <c r="A397" s="85"/>
      <c r="B397" s="85"/>
      <c r="C397" s="85"/>
      <c r="D397" s="85"/>
      <c r="E397" s="85"/>
      <c r="F397" s="85"/>
      <c r="G397" s="85"/>
      <c r="H397" s="85"/>
      <c r="I397" s="85"/>
      <c r="J397" s="85"/>
      <c r="K397" s="114"/>
      <c r="L397" s="108"/>
      <c r="M397" s="86"/>
      <c r="N397" s="108"/>
      <c r="O397" s="86"/>
      <c r="P397" s="108"/>
      <c r="Q397" s="46"/>
      <c r="R397" s="85"/>
    </row>
    <row r="398" spans="1:18" s="213" customFormat="1" x14ac:dyDescent="0.25">
      <c r="A398" s="85"/>
      <c r="B398" s="85" t="s">
        <v>19</v>
      </c>
      <c r="C398" s="85"/>
      <c r="D398" s="85"/>
      <c r="E398" s="85"/>
      <c r="F398" s="85"/>
      <c r="G398" s="85"/>
      <c r="H398" s="85"/>
      <c r="I398" s="85"/>
      <c r="J398" s="85"/>
      <c r="K398" s="114"/>
      <c r="L398" s="108"/>
      <c r="M398" s="86"/>
      <c r="N398" s="108"/>
      <c r="O398" s="86"/>
      <c r="P398" s="108"/>
      <c r="Q398" s="46"/>
      <c r="R398" s="85"/>
    </row>
    <row r="399" spans="1:18" x14ac:dyDescent="0.25">
      <c r="A399" s="85"/>
      <c r="B399" s="85" t="s">
        <v>28</v>
      </c>
      <c r="C399" s="87"/>
      <c r="D399" s="87"/>
      <c r="E399" s="87"/>
      <c r="F399" s="87"/>
      <c r="G399" s="87"/>
      <c r="H399" s="85"/>
      <c r="I399" s="85"/>
      <c r="J399" s="87"/>
      <c r="K399" s="115"/>
      <c r="L399" s="107"/>
      <c r="M399" s="89"/>
      <c r="N399" s="107"/>
      <c r="O399" s="89"/>
      <c r="P399" s="107"/>
      <c r="R399" s="85"/>
    </row>
    <row r="400" spans="1:18" x14ac:dyDescent="0.25">
      <c r="A400" s="87"/>
      <c r="B400" s="111" t="s">
        <v>99</v>
      </c>
      <c r="C400" s="87"/>
      <c r="D400" s="87"/>
      <c r="E400" s="87"/>
      <c r="F400" s="87"/>
      <c r="G400" s="87"/>
      <c r="H400" s="87">
        <f t="shared" ref="H400:H401" si="57">IF(A400=0,0,1)</f>
        <v>0</v>
      </c>
      <c r="I400" s="87"/>
      <c r="J400" s="87"/>
      <c r="K400" s="115">
        <f>+E404</f>
        <v>3200000</v>
      </c>
      <c r="L400" s="107"/>
      <c r="M400" s="89">
        <f>+F404</f>
        <v>3200000</v>
      </c>
      <c r="N400" s="107"/>
      <c r="O400" s="89">
        <f>+G404</f>
        <v>3200000</v>
      </c>
      <c r="P400" s="107"/>
      <c r="R400" s="87" t="s">
        <v>98</v>
      </c>
    </row>
    <row r="401" spans="1:18" x14ac:dyDescent="0.25">
      <c r="A401" s="87"/>
      <c r="B401" s="111" t="s">
        <v>174</v>
      </c>
      <c r="C401" s="87"/>
      <c r="D401" s="87"/>
      <c r="E401" s="87"/>
      <c r="F401" s="87"/>
      <c r="G401" s="87"/>
      <c r="H401" s="87">
        <f t="shared" si="57"/>
        <v>0</v>
      </c>
      <c r="I401" s="87"/>
      <c r="J401" s="87"/>
      <c r="K401" s="115"/>
      <c r="L401" s="107">
        <f>+K400</f>
        <v>3200000</v>
      </c>
      <c r="M401" s="89"/>
      <c r="N401" s="107">
        <f>+M400</f>
        <v>3200000</v>
      </c>
      <c r="O401" s="89"/>
      <c r="P401" s="107">
        <f>+O400</f>
        <v>3200000</v>
      </c>
      <c r="R401" s="87" t="s">
        <v>177</v>
      </c>
    </row>
    <row r="402" spans="1:18" x14ac:dyDescent="0.25">
      <c r="A402" s="87"/>
      <c r="B402" s="111"/>
      <c r="C402" s="87"/>
      <c r="D402" s="87"/>
      <c r="E402" s="87"/>
      <c r="F402" s="87"/>
      <c r="G402" s="87"/>
      <c r="H402" s="87"/>
      <c r="I402" s="87"/>
      <c r="J402" s="87"/>
      <c r="K402" s="115"/>
      <c r="L402" s="107"/>
      <c r="M402" s="89"/>
      <c r="N402" s="107"/>
      <c r="O402" s="89"/>
      <c r="P402" s="107"/>
      <c r="R402" s="87"/>
    </row>
    <row r="403" spans="1:18" x14ac:dyDescent="0.25">
      <c r="A403" s="87"/>
      <c r="B403" s="111"/>
      <c r="C403" s="87"/>
      <c r="D403" s="87"/>
      <c r="E403" s="212">
        <v>2025</v>
      </c>
      <c r="F403" s="212">
        <v>2024</v>
      </c>
      <c r="G403" s="212">
        <v>2023</v>
      </c>
      <c r="H403" s="87"/>
      <c r="I403" s="87"/>
      <c r="J403" s="87"/>
      <c r="K403" s="115"/>
      <c r="L403" s="107"/>
      <c r="M403" s="89"/>
      <c r="N403" s="107"/>
      <c r="O403" s="89"/>
      <c r="P403" s="107"/>
      <c r="R403" s="87"/>
    </row>
    <row r="404" spans="1:18" x14ac:dyDescent="0.25">
      <c r="A404" s="87"/>
      <c r="B404" s="216" t="s">
        <v>201</v>
      </c>
      <c r="C404" s="109"/>
      <c r="D404" s="109"/>
      <c r="E404" s="250">
        <v>3200000</v>
      </c>
      <c r="F404" s="250">
        <v>3200000</v>
      </c>
      <c r="G404" s="250">
        <v>3200000</v>
      </c>
      <c r="H404" s="109"/>
      <c r="I404" s="109"/>
      <c r="J404" s="314"/>
      <c r="K404" s="115"/>
      <c r="L404" s="107"/>
      <c r="M404" s="89"/>
      <c r="N404" s="107"/>
      <c r="O404" s="89"/>
      <c r="P404" s="107"/>
      <c r="R404" s="87"/>
    </row>
    <row r="405" spans="1:18" x14ac:dyDescent="0.25">
      <c r="B405" s="87"/>
      <c r="C405" s="87"/>
      <c r="D405" s="87"/>
      <c r="E405" s="87"/>
      <c r="F405" s="87"/>
      <c r="G405" s="87"/>
      <c r="H405" s="87"/>
      <c r="I405" s="87"/>
      <c r="J405" s="87"/>
      <c r="K405" s="315">
        <f t="shared" ref="K405:P405" si="58">SUM(K5:K327)+SUM(K364:K404)</f>
        <v>74416527.613612562</v>
      </c>
      <c r="L405" s="315">
        <f t="shared" si="58"/>
        <v>74416527.613612562</v>
      </c>
      <c r="M405" s="315">
        <f t="shared" si="58"/>
        <v>67387689.853532568</v>
      </c>
      <c r="N405" s="315">
        <f t="shared" si="58"/>
        <v>67387689.853532568</v>
      </c>
      <c r="O405" s="315">
        <f t="shared" si="58"/>
        <v>41793875.253532566</v>
      </c>
      <c r="P405" s="315">
        <f t="shared" si="58"/>
        <v>41793875.253532566</v>
      </c>
    </row>
    <row r="406" spans="1:18" x14ac:dyDescent="0.25">
      <c r="B406" s="87"/>
      <c r="C406" s="87"/>
      <c r="D406" s="87"/>
      <c r="E406" s="87"/>
      <c r="F406" s="87"/>
      <c r="G406" s="87"/>
      <c r="H406" s="87"/>
      <c r="I406" s="87"/>
      <c r="J406" s="87"/>
      <c r="K406" s="89"/>
      <c r="L406" s="89">
        <f>+K405-L405</f>
        <v>0</v>
      </c>
      <c r="M406" s="89"/>
      <c r="N406" s="89">
        <f>+M405-N405</f>
        <v>0</v>
      </c>
      <c r="O406" s="89"/>
      <c r="P406" s="89">
        <f>+O405-P405</f>
        <v>0</v>
      </c>
    </row>
    <row r="407" spans="1:18" x14ac:dyDescent="0.25">
      <c r="B407" s="87"/>
      <c r="C407" s="87"/>
      <c r="D407" s="87"/>
      <c r="E407" s="87"/>
      <c r="F407" s="87"/>
      <c r="G407" s="87"/>
      <c r="H407" s="87"/>
      <c r="I407" s="87"/>
      <c r="J407" s="87"/>
      <c r="K407" s="89"/>
      <c r="L407" s="89"/>
      <c r="M407" s="89"/>
      <c r="N407" s="89"/>
      <c r="O407" s="89"/>
      <c r="P407" s="89"/>
    </row>
    <row r="408" spans="1:18" x14ac:dyDescent="0.25">
      <c r="B408" s="87"/>
      <c r="C408" s="87"/>
      <c r="D408" s="87"/>
      <c r="E408" s="87"/>
      <c r="F408" s="87"/>
      <c r="G408" s="87"/>
      <c r="H408" s="87"/>
      <c r="I408" s="87"/>
      <c r="J408" s="87"/>
      <c r="K408" s="316" t="s">
        <v>122</v>
      </c>
      <c r="L408" s="316" t="s">
        <v>202</v>
      </c>
      <c r="M408" s="89"/>
      <c r="N408" s="89"/>
      <c r="O408" s="89"/>
      <c r="P408" s="89"/>
    </row>
    <row r="409" spans="1:18" x14ac:dyDescent="0.25">
      <c r="G409" s="33" t="s">
        <v>410</v>
      </c>
      <c r="K409" s="317">
        <f ca="1">SUMIF($A$1:$L$405,$R409,K1:K405)</f>
        <v>600000</v>
      </c>
      <c r="L409" s="317">
        <f ca="1">SUMIF($A$1:$L$405,$R409,L1:L405)</f>
        <v>0</v>
      </c>
      <c r="M409" s="89"/>
      <c r="N409" s="89"/>
      <c r="O409" s="89"/>
      <c r="P409" s="89"/>
      <c r="R409" s="87" t="s">
        <v>98</v>
      </c>
    </row>
    <row r="410" spans="1:18" x14ac:dyDescent="0.25">
      <c r="G410" s="33" t="s">
        <v>411</v>
      </c>
      <c r="K410" s="317">
        <f ca="1">SUMIF($A$1:$L$405,$R410,K1:K406)</f>
        <v>0</v>
      </c>
      <c r="L410" s="317">
        <f ca="1">SUMIF($A$1:$L$405,$R410,L1:L406)</f>
        <v>0</v>
      </c>
      <c r="M410" s="89"/>
      <c r="N410" s="89"/>
      <c r="O410" s="89"/>
      <c r="P410" s="89"/>
      <c r="R410" s="87" t="s">
        <v>96</v>
      </c>
    </row>
    <row r="411" spans="1:18" x14ac:dyDescent="0.25">
      <c r="G411" s="33" t="s">
        <v>412</v>
      </c>
      <c r="K411" s="317">
        <f ca="1">SUMIF($A$1:$L$405,$R411,K1:K407)</f>
        <v>0</v>
      </c>
      <c r="L411" s="317">
        <f ca="1">SUMIF($A$1:$L$405,$R411,L1:L407)</f>
        <v>0</v>
      </c>
      <c r="R411" s="87" t="s">
        <v>145</v>
      </c>
    </row>
    <row r="412" spans="1:18" x14ac:dyDescent="0.25">
      <c r="K412" s="399">
        <f ca="1">SUM(K409:K411)</f>
        <v>600000</v>
      </c>
      <c r="L412" s="399">
        <f ca="1">SUM(L409:L411)</f>
        <v>0</v>
      </c>
    </row>
    <row r="413" spans="1:18" x14ac:dyDescent="0.25">
      <c r="L413" s="318">
        <f ca="1">+L412-K412</f>
        <v>-600000</v>
      </c>
    </row>
  </sheetData>
  <mergeCells count="1">
    <mergeCell ref="K1:L1"/>
  </mergeCells>
  <printOptions horizontalCentered="1"/>
  <pageMargins left="0.39370078740157483" right="0.39370078740157483" top="0.39370078740157483" bottom="0.39370078740157483" header="0.31496062992125984" footer="0.31496062992125984"/>
  <pageSetup scale="48" orientation="portrait" r:id="rId1"/>
  <rowBreaks count="2" manualBreakCount="2">
    <brk id="97" max="16" man="1"/>
    <brk id="222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6"/>
  <sheetViews>
    <sheetView zoomScale="85" zoomScaleNormal="85" zoomScaleSheetLayoutView="70" workbookViewId="0">
      <selection activeCell="C36" sqref="C36:D54"/>
    </sheetView>
  </sheetViews>
  <sheetFormatPr baseColWidth="10" defaultColWidth="9.140625" defaultRowHeight="15" x14ac:dyDescent="0.25"/>
  <cols>
    <col min="1" max="1" width="6.7109375" customWidth="1"/>
    <col min="2" max="2" width="67.7109375" style="14" bestFit="1" customWidth="1"/>
    <col min="3" max="3" width="25.7109375" style="14" bestFit="1" customWidth="1"/>
    <col min="4" max="4" width="23.5703125" style="14" bestFit="1" customWidth="1"/>
    <col min="5" max="5" width="3" style="14" customWidth="1"/>
    <col min="6" max="6" width="5.5703125" customWidth="1"/>
    <col min="7" max="7" width="49.5703125" style="14" customWidth="1"/>
    <col min="8" max="8" width="19.42578125" style="14" bestFit="1" customWidth="1"/>
    <col min="9" max="9" width="18.7109375" style="14" bestFit="1" customWidth="1"/>
    <col min="10" max="10" width="2.5703125" customWidth="1"/>
    <col min="11" max="51" width="14.7109375" customWidth="1"/>
  </cols>
  <sheetData>
    <row r="1" spans="1:10" ht="21" customHeight="1" x14ac:dyDescent="0.25">
      <c r="A1" s="55" t="s">
        <v>272</v>
      </c>
      <c r="B1" s="47"/>
      <c r="C1" s="54" t="s">
        <v>238</v>
      </c>
      <c r="D1" s="54" t="s">
        <v>237</v>
      </c>
      <c r="E1" s="33"/>
      <c r="F1" s="55" t="s">
        <v>272</v>
      </c>
      <c r="G1" s="47"/>
      <c r="H1" s="54" t="s">
        <v>238</v>
      </c>
      <c r="I1" s="54" t="s">
        <v>237</v>
      </c>
      <c r="J1" s="46"/>
    </row>
    <row r="2" spans="1:10" s="14" customFormat="1" ht="18.75" customHeight="1" x14ac:dyDescent="0.25">
      <c r="A2" s="55" t="s">
        <v>368</v>
      </c>
      <c r="B2" s="47"/>
      <c r="C2" s="48">
        <v>2024</v>
      </c>
      <c r="D2" s="48">
        <v>2024</v>
      </c>
      <c r="E2" s="33"/>
      <c r="F2" s="55" t="s">
        <v>369</v>
      </c>
      <c r="G2" s="47"/>
      <c r="H2" s="48">
        <v>2024</v>
      </c>
      <c r="I2" s="48">
        <v>2024</v>
      </c>
      <c r="J2" s="33"/>
    </row>
    <row r="3" spans="1:10" s="14" customFormat="1" ht="16.5" thickBot="1" x14ac:dyDescent="0.3">
      <c r="A3" s="55"/>
      <c r="B3" s="47"/>
      <c r="C3" s="48" t="s">
        <v>54</v>
      </c>
      <c r="D3" s="48" t="s">
        <v>54</v>
      </c>
      <c r="E3" s="33"/>
      <c r="F3" s="55"/>
      <c r="G3" s="47"/>
      <c r="H3" s="48" t="s">
        <v>54</v>
      </c>
      <c r="I3" s="48" t="s">
        <v>54</v>
      </c>
      <c r="J3" s="33"/>
    </row>
    <row r="4" spans="1:10" s="36" customFormat="1" ht="20.25" thickBot="1" x14ac:dyDescent="0.3">
      <c r="A4" s="477" t="s">
        <v>405</v>
      </c>
      <c r="B4" s="478"/>
      <c r="C4" s="479">
        <f>+Matriz!D49</f>
        <v>105614577</v>
      </c>
      <c r="D4" s="480">
        <f>+Matriz!E49</f>
        <v>94457819</v>
      </c>
      <c r="E4" s="337"/>
      <c r="F4" s="83"/>
      <c r="G4" s="83"/>
      <c r="H4" s="83"/>
      <c r="I4" s="83"/>
    </row>
    <row r="5" spans="1:10" s="36" customFormat="1" ht="19.5" x14ac:dyDescent="0.3">
      <c r="A5" s="338" t="s">
        <v>213</v>
      </c>
      <c r="B5" s="83"/>
      <c r="C5" s="83"/>
      <c r="D5" s="83"/>
      <c r="E5" s="83"/>
      <c r="F5" s="83"/>
      <c r="G5" s="335" t="s">
        <v>405</v>
      </c>
      <c r="H5" s="339">
        <f>+C4</f>
        <v>105614577</v>
      </c>
      <c r="I5" s="340">
        <f>+D4</f>
        <v>94457819</v>
      </c>
    </row>
    <row r="6" spans="1:10" s="36" customFormat="1" ht="19.5" x14ac:dyDescent="0.3">
      <c r="A6" s="83"/>
      <c r="B6" s="338" t="s">
        <v>259</v>
      </c>
      <c r="C6" s="83"/>
      <c r="D6" s="83"/>
      <c r="E6" s="83"/>
      <c r="F6" s="83"/>
      <c r="G6" s="83"/>
      <c r="H6" s="83"/>
      <c r="I6" s="83"/>
    </row>
    <row r="7" spans="1:10" s="36" customFormat="1" ht="19.5" x14ac:dyDescent="0.3">
      <c r="A7" s="83">
        <v>9</v>
      </c>
      <c r="B7" s="83" t="s">
        <v>219</v>
      </c>
      <c r="C7" s="97">
        <f>+'Asientos-1'!N130*'Asientos-1'!H130</f>
        <v>0</v>
      </c>
      <c r="D7" s="97">
        <f>+'Asientos-1'!P130*'Asientos-1'!H130</f>
        <v>0</v>
      </c>
      <c r="E7" s="97"/>
      <c r="F7" s="83"/>
      <c r="G7" s="338" t="s">
        <v>213</v>
      </c>
      <c r="H7" s="83"/>
      <c r="I7" s="83"/>
    </row>
    <row r="8" spans="1:10" s="36" customFormat="1" ht="19.5" x14ac:dyDescent="0.3">
      <c r="A8" s="83">
        <v>31</v>
      </c>
      <c r="B8" s="83" t="s">
        <v>266</v>
      </c>
      <c r="C8" s="341"/>
      <c r="D8" s="341"/>
      <c r="E8" s="97"/>
      <c r="F8" s="83"/>
      <c r="G8" s="338" t="s">
        <v>259</v>
      </c>
      <c r="H8" s="83"/>
      <c r="I8" s="83"/>
    </row>
    <row r="9" spans="1:10" s="36" customFormat="1" ht="19.5" x14ac:dyDescent="0.3">
      <c r="A9" s="83"/>
      <c r="B9" s="83"/>
      <c r="C9" s="342">
        <f t="shared" ref="C9" si="0">+C7+C8</f>
        <v>0</v>
      </c>
      <c r="D9" s="342">
        <f>+D7+D8</f>
        <v>0</v>
      </c>
      <c r="E9" s="97"/>
      <c r="F9" s="83">
        <v>9</v>
      </c>
      <c r="G9" s="83" t="s">
        <v>219</v>
      </c>
      <c r="H9" s="97">
        <f>+C7</f>
        <v>0</v>
      </c>
      <c r="I9" s="97">
        <f>+D7</f>
        <v>0</v>
      </c>
    </row>
    <row r="10" spans="1:10" s="36" customFormat="1" ht="19.5" x14ac:dyDescent="0.3">
      <c r="A10" s="83"/>
      <c r="B10" s="338" t="s">
        <v>260</v>
      </c>
      <c r="C10" s="97"/>
      <c r="D10" s="97"/>
      <c r="E10" s="337"/>
      <c r="F10" s="83">
        <v>31</v>
      </c>
      <c r="G10" s="83" t="s">
        <v>266</v>
      </c>
      <c r="H10" s="97">
        <f>+C8</f>
        <v>0</v>
      </c>
      <c r="I10" s="97">
        <f>+D8+D54</f>
        <v>0</v>
      </c>
    </row>
    <row r="11" spans="1:10" s="36" customFormat="1" ht="19.5" x14ac:dyDescent="0.3">
      <c r="A11" s="83">
        <v>19</v>
      </c>
      <c r="B11" s="83" t="s">
        <v>227</v>
      </c>
      <c r="C11" s="342">
        <f>-'Asientos-1'!M245*'Asientos-1'!H245</f>
        <v>0</v>
      </c>
      <c r="D11" s="342">
        <f>-'Asientos-1'!O245*'Asientos-1'!H245</f>
        <v>0</v>
      </c>
      <c r="E11" s="337"/>
      <c r="F11" s="83"/>
      <c r="G11" s="83"/>
      <c r="H11" s="97"/>
      <c r="I11" s="97"/>
    </row>
    <row r="12" spans="1:10" s="36" customFormat="1" ht="19.5" x14ac:dyDescent="0.3">
      <c r="A12" s="83"/>
      <c r="B12" s="83"/>
      <c r="C12" s="342"/>
      <c r="D12" s="342"/>
      <c r="E12" s="337"/>
      <c r="F12" s="83"/>
      <c r="G12" s="83"/>
      <c r="H12" s="97"/>
      <c r="I12" s="97"/>
    </row>
    <row r="13" spans="1:10" s="36" customFormat="1" ht="19.5" x14ac:dyDescent="0.3">
      <c r="A13" s="83"/>
      <c r="B13" s="338" t="s">
        <v>261</v>
      </c>
      <c r="C13" s="97"/>
      <c r="D13" s="97"/>
      <c r="E13" s="97"/>
      <c r="F13" s="83"/>
      <c r="G13" s="338" t="s">
        <v>260</v>
      </c>
      <c r="H13" s="97"/>
      <c r="I13" s="97"/>
    </row>
    <row r="14" spans="1:10" s="36" customFormat="1" ht="18.75" x14ac:dyDescent="0.25">
      <c r="A14" s="83">
        <v>3</v>
      </c>
      <c r="B14" s="83" t="s">
        <v>280</v>
      </c>
      <c r="C14" s="97">
        <f>-'Asientos-1'!M39*'Asientos-1'!H39</f>
        <v>0</v>
      </c>
      <c r="D14" s="97">
        <f>-'Asientos-1'!O39*'Asientos-1'!H39</f>
        <v>0</v>
      </c>
      <c r="E14" s="97"/>
      <c r="F14" s="83">
        <v>19</v>
      </c>
      <c r="G14" s="83" t="s">
        <v>227</v>
      </c>
      <c r="H14" s="97">
        <f>+C11</f>
        <v>0</v>
      </c>
      <c r="I14" s="97">
        <f>+D11</f>
        <v>0</v>
      </c>
    </row>
    <row r="15" spans="1:10" s="36" customFormat="1" ht="19.5" x14ac:dyDescent="0.3">
      <c r="A15" s="83">
        <v>4</v>
      </c>
      <c r="B15" s="83" t="s">
        <v>215</v>
      </c>
      <c r="C15" s="97">
        <f>-'Asientos-1'!M52*'Asientos-1'!H52</f>
        <v>0</v>
      </c>
      <c r="D15" s="97">
        <f>-'Asientos-1'!O52*'Asientos-1'!H52</f>
        <v>0</v>
      </c>
      <c r="E15" s="97"/>
      <c r="F15" s="83"/>
      <c r="G15" s="338" t="s">
        <v>261</v>
      </c>
      <c r="H15" s="97"/>
      <c r="I15" s="97"/>
    </row>
    <row r="16" spans="1:10" s="36" customFormat="1" ht="18.75" x14ac:dyDescent="0.25">
      <c r="A16" s="83">
        <v>5</v>
      </c>
      <c r="B16" s="83" t="s">
        <v>216</v>
      </c>
      <c r="C16" s="97">
        <f>+'Asientos-1'!N79*'Asientos-1'!H79</f>
        <v>0</v>
      </c>
      <c r="D16" s="97">
        <f>+'Asientos-1'!P79*'Asientos-1'!H79</f>
        <v>0</v>
      </c>
      <c r="E16" s="97"/>
      <c r="F16" s="83">
        <v>3</v>
      </c>
      <c r="G16" s="83" t="s">
        <v>214</v>
      </c>
      <c r="H16" s="343">
        <f t="shared" ref="H16:I22" si="1">+C14+C36</f>
        <v>0</v>
      </c>
      <c r="I16" s="343">
        <f t="shared" si="1"/>
        <v>0</v>
      </c>
    </row>
    <row r="17" spans="1:13" s="36" customFormat="1" ht="19.5" x14ac:dyDescent="0.3">
      <c r="A17" s="83">
        <v>6</v>
      </c>
      <c r="B17" s="481" t="s">
        <v>217</v>
      </c>
      <c r="C17" s="482">
        <f>-'Asientos-1'!M83*'Asientos-1'!H83</f>
        <v>-450000</v>
      </c>
      <c r="D17" s="482">
        <f>-'Asientos-1'!O83*'Asientos-1'!H83</f>
        <v>-450000</v>
      </c>
      <c r="E17" s="97"/>
      <c r="F17" s="83">
        <v>4</v>
      </c>
      <c r="G17" s="83" t="s">
        <v>215</v>
      </c>
      <c r="H17" s="97">
        <f t="shared" si="1"/>
        <v>0</v>
      </c>
      <c r="I17" s="97">
        <f t="shared" si="1"/>
        <v>0</v>
      </c>
    </row>
    <row r="18" spans="1:13" s="36" customFormat="1" ht="18.75" x14ac:dyDescent="0.25">
      <c r="A18" s="83">
        <v>7</v>
      </c>
      <c r="B18" s="83" t="s">
        <v>218</v>
      </c>
      <c r="C18" s="97">
        <f>-'Asientos-1'!M101*'Asientos-1'!H101</f>
        <v>0</v>
      </c>
      <c r="D18" s="97">
        <f>-'Asientos-1'!O101*'Asientos-1'!H101</f>
        <v>0</v>
      </c>
      <c r="E18" s="97"/>
      <c r="F18" s="83">
        <v>5</v>
      </c>
      <c r="G18" s="83" t="s">
        <v>216</v>
      </c>
      <c r="H18" s="97">
        <f t="shared" si="1"/>
        <v>0</v>
      </c>
      <c r="I18" s="97">
        <f t="shared" si="1"/>
        <v>0</v>
      </c>
    </row>
    <row r="19" spans="1:13" s="36" customFormat="1" ht="18.75" x14ac:dyDescent="0.25">
      <c r="A19" s="83">
        <v>10</v>
      </c>
      <c r="B19" s="83" t="s">
        <v>220</v>
      </c>
      <c r="C19" s="97">
        <f>+'Asientos-1'!N136*'Asientos-1'!H136</f>
        <v>0</v>
      </c>
      <c r="D19" s="97">
        <f>+'Asientos-1'!P136*'Asientos-1'!H136</f>
        <v>0</v>
      </c>
      <c r="E19" s="97"/>
      <c r="F19" s="83">
        <v>6</v>
      </c>
      <c r="G19" s="83" t="s">
        <v>217</v>
      </c>
      <c r="H19" s="97">
        <f t="shared" si="1"/>
        <v>-600000</v>
      </c>
      <c r="I19" s="97">
        <f t="shared" si="1"/>
        <v>-450000</v>
      </c>
    </row>
    <row r="20" spans="1:13" s="36" customFormat="1" ht="18.75" x14ac:dyDescent="0.25">
      <c r="A20" s="83">
        <v>11</v>
      </c>
      <c r="B20" s="83" t="s">
        <v>221</v>
      </c>
      <c r="C20" s="97">
        <f>+'Asientos-1'!N156*'Asientos-1'!H156</f>
        <v>0</v>
      </c>
      <c r="D20" s="97">
        <f>+'Asientos-1'!P156*'Asientos-1'!H156</f>
        <v>0</v>
      </c>
      <c r="E20" s="97"/>
      <c r="F20" s="83">
        <v>7</v>
      </c>
      <c r="G20" s="83" t="s">
        <v>218</v>
      </c>
      <c r="H20" s="97">
        <f t="shared" si="1"/>
        <v>0</v>
      </c>
      <c r="I20" s="97">
        <f t="shared" si="1"/>
        <v>0</v>
      </c>
    </row>
    <row r="21" spans="1:13" s="36" customFormat="1" ht="18.75" x14ac:dyDescent="0.25">
      <c r="A21" s="83">
        <v>12</v>
      </c>
      <c r="B21" s="83" t="s">
        <v>222</v>
      </c>
      <c r="C21" s="97">
        <f>'Asientos-1'!M177*'Asientos-1'!H177</f>
        <v>0</v>
      </c>
      <c r="D21" s="97">
        <f>'Asientos-1'!O177*'Asientos-1'!H177</f>
        <v>0</v>
      </c>
      <c r="E21" s="97"/>
      <c r="F21" s="83">
        <v>10</v>
      </c>
      <c r="G21" s="83" t="s">
        <v>220</v>
      </c>
      <c r="H21" s="97">
        <f t="shared" si="1"/>
        <v>0</v>
      </c>
      <c r="I21" s="97">
        <f t="shared" si="1"/>
        <v>0</v>
      </c>
    </row>
    <row r="22" spans="1:13" s="36" customFormat="1" ht="18.75" x14ac:dyDescent="0.25">
      <c r="A22" s="83">
        <v>13</v>
      </c>
      <c r="B22" s="83" t="s">
        <v>223</v>
      </c>
      <c r="C22" s="97">
        <f>-+'Asientos-1'!M201*'Asientos-1'!H201</f>
        <v>0</v>
      </c>
      <c r="D22" s="97">
        <f>-'Asientos-1'!O197*'Asientos-1'!H201</f>
        <v>0</v>
      </c>
      <c r="E22" s="97"/>
      <c r="F22" s="83">
        <v>11</v>
      </c>
      <c r="G22" s="83" t="s">
        <v>221</v>
      </c>
      <c r="H22" s="97">
        <f t="shared" si="1"/>
        <v>0</v>
      </c>
      <c r="I22" s="97">
        <f t="shared" si="1"/>
        <v>0</v>
      </c>
    </row>
    <row r="23" spans="1:13" s="36" customFormat="1" ht="18.75" x14ac:dyDescent="0.25">
      <c r="A23" s="83">
        <v>15</v>
      </c>
      <c r="B23" s="83" t="s">
        <v>224</v>
      </c>
      <c r="C23" s="97"/>
      <c r="D23" s="97"/>
      <c r="E23" s="97"/>
      <c r="F23" s="83">
        <v>12</v>
      </c>
      <c r="G23" s="83" t="s">
        <v>222</v>
      </c>
      <c r="H23" s="97">
        <f>+C21</f>
        <v>0</v>
      </c>
      <c r="I23" s="97">
        <f>+D21</f>
        <v>0</v>
      </c>
    </row>
    <row r="24" spans="1:13" s="36" customFormat="1" ht="18.75" x14ac:dyDescent="0.25">
      <c r="A24" s="83">
        <v>16</v>
      </c>
      <c r="B24" s="83" t="s">
        <v>225</v>
      </c>
      <c r="C24" s="97">
        <f>+'Asientos-1'!N213*'Asientos-1'!H213</f>
        <v>0</v>
      </c>
      <c r="D24" s="97">
        <f>+'Asientos-1'!P213*'Asientos-1'!H213</f>
        <v>0</v>
      </c>
      <c r="E24" s="97"/>
      <c r="F24" s="83">
        <v>13</v>
      </c>
      <c r="G24" s="83" t="s">
        <v>223</v>
      </c>
      <c r="H24" s="97">
        <f t="shared" ref="H24:I27" si="2">+C22+C43</f>
        <v>0</v>
      </c>
      <c r="I24" s="97">
        <f t="shared" si="2"/>
        <v>0</v>
      </c>
    </row>
    <row r="25" spans="1:13" s="36" customFormat="1" ht="18.75" x14ac:dyDescent="0.25">
      <c r="A25" s="83">
        <v>17</v>
      </c>
      <c r="B25" s="83" t="s">
        <v>226</v>
      </c>
      <c r="C25" s="97">
        <f>-'Asientos-1'!M231*'Asientos-1'!H231</f>
        <v>0</v>
      </c>
      <c r="D25" s="97">
        <f>-'Asientos-1'!O231*'Asientos-1'!H231</f>
        <v>0</v>
      </c>
      <c r="E25" s="337"/>
      <c r="F25" s="83">
        <v>15</v>
      </c>
      <c r="G25" s="83" t="s">
        <v>224</v>
      </c>
      <c r="H25" s="97"/>
      <c r="I25" s="97"/>
    </row>
    <row r="26" spans="1:13" s="36" customFormat="1" ht="18.75" x14ac:dyDescent="0.25">
      <c r="A26" s="83">
        <v>21</v>
      </c>
      <c r="B26" s="83" t="s">
        <v>229</v>
      </c>
      <c r="C26" s="97">
        <f>-'Asientos-1'!M264*'Asientos-1'!H264</f>
        <v>0</v>
      </c>
      <c r="D26" s="97">
        <f>-'Asientos-1'!O264*'Asientos-1'!H264</f>
        <v>0</v>
      </c>
      <c r="E26" s="337"/>
      <c r="F26" s="83">
        <v>16</v>
      </c>
      <c r="G26" s="83" t="s">
        <v>225</v>
      </c>
      <c r="H26" s="97">
        <f t="shared" si="2"/>
        <v>0</v>
      </c>
      <c r="I26" s="97">
        <f t="shared" si="2"/>
        <v>0</v>
      </c>
    </row>
    <row r="27" spans="1:13" s="36" customFormat="1" ht="18.75" x14ac:dyDescent="0.25">
      <c r="A27" s="83">
        <v>22</v>
      </c>
      <c r="B27" s="83" t="s">
        <v>230</v>
      </c>
      <c r="C27" s="97">
        <f>(-'Asientos-1'!M279+-'Asientos-1'!M283)*'Asientos-1'!H283</f>
        <v>0</v>
      </c>
      <c r="D27" s="97">
        <f>(-'Asientos-1'!O279+-'Asientos-1'!O283)*'Asientos-1'!H283</f>
        <v>0</v>
      </c>
      <c r="E27" s="337"/>
      <c r="F27" s="83">
        <v>17</v>
      </c>
      <c r="G27" s="83" t="s">
        <v>226</v>
      </c>
      <c r="H27" s="97">
        <f t="shared" si="2"/>
        <v>0</v>
      </c>
      <c r="I27" s="97">
        <f t="shared" si="2"/>
        <v>0</v>
      </c>
      <c r="M27" s="449">
        <f>+'Reconciliación 1'!C34+'Reconciliación 1'!C56+'Reconciliación 1'!C9+'Reconciliación 1'!C11</f>
        <v>-600000</v>
      </c>
    </row>
    <row r="28" spans="1:13" s="36" customFormat="1" ht="18.75" x14ac:dyDescent="0.25">
      <c r="A28" s="83">
        <v>24</v>
      </c>
      <c r="B28" s="83" t="s">
        <v>232</v>
      </c>
      <c r="C28" s="97">
        <f>-'Asientos-1'!M313*'Asientos-1'!H313</f>
        <v>0</v>
      </c>
      <c r="D28" s="97">
        <f>-'Asientos-1'!O313*'Asientos-1'!H313</f>
        <v>0</v>
      </c>
      <c r="E28" s="337"/>
      <c r="F28" s="83">
        <v>21</v>
      </c>
      <c r="G28" s="83" t="s">
        <v>229</v>
      </c>
      <c r="H28" s="97">
        <f>+C26+C48</f>
        <v>0</v>
      </c>
      <c r="I28" s="97">
        <f>+D26+D48</f>
        <v>0</v>
      </c>
    </row>
    <row r="29" spans="1:13" s="36" customFormat="1" ht="18.75" x14ac:dyDescent="0.25">
      <c r="A29" s="83">
        <v>25</v>
      </c>
      <c r="B29" s="83" t="s">
        <v>233</v>
      </c>
      <c r="C29" s="97">
        <f>+'Asientos-1'!N327*'Asientos-1'!H327</f>
        <v>0</v>
      </c>
      <c r="D29" s="97">
        <f>+'Asientos-1'!P327*'Asientos-1'!H327</f>
        <v>0</v>
      </c>
      <c r="E29" s="337"/>
      <c r="F29" s="83">
        <v>22</v>
      </c>
      <c r="G29" s="83" t="s">
        <v>230</v>
      </c>
      <c r="H29" s="97">
        <f>+C27+C49</f>
        <v>0</v>
      </c>
      <c r="I29" s="97">
        <f>+D27+D49</f>
        <v>0</v>
      </c>
    </row>
    <row r="30" spans="1:13" s="36" customFormat="1" ht="18.75" x14ac:dyDescent="0.25">
      <c r="A30" s="83">
        <v>26</v>
      </c>
      <c r="B30" s="83" t="s">
        <v>234</v>
      </c>
      <c r="C30" s="97">
        <f>-'Asientos-1'!M365*'Asientos-1'!H365</f>
        <v>0</v>
      </c>
      <c r="D30" s="97">
        <f>-'Asientos-1'!O365*'Asientos-1'!H365</f>
        <v>0</v>
      </c>
      <c r="E30" s="337"/>
      <c r="F30" s="83">
        <v>24</v>
      </c>
      <c r="G30" s="83" t="s">
        <v>232</v>
      </c>
      <c r="H30" s="97">
        <f t="shared" ref="H30:I32" si="3">+C28+C51</f>
        <v>0</v>
      </c>
      <c r="I30" s="97">
        <f t="shared" si="3"/>
        <v>0</v>
      </c>
    </row>
    <row r="31" spans="1:13" s="36" customFormat="1" ht="18.75" x14ac:dyDescent="0.25">
      <c r="A31" s="83">
        <v>29</v>
      </c>
      <c r="B31" s="83" t="s">
        <v>235</v>
      </c>
      <c r="C31" s="97">
        <f>+'Asientos-1'!N390*'Asientos-1'!H390</f>
        <v>0</v>
      </c>
      <c r="D31" s="97">
        <f>+'Asientos-1'!P390*'Asientos-1'!H390</f>
        <v>0</v>
      </c>
      <c r="E31" s="337"/>
      <c r="F31" s="83">
        <v>25</v>
      </c>
      <c r="G31" s="83" t="s">
        <v>233</v>
      </c>
      <c r="H31" s="97">
        <f t="shared" si="3"/>
        <v>0</v>
      </c>
      <c r="I31" s="97">
        <f t="shared" si="3"/>
        <v>0</v>
      </c>
    </row>
    <row r="32" spans="1:13" s="36" customFormat="1" ht="18.75" x14ac:dyDescent="0.25">
      <c r="A32" s="83">
        <v>31</v>
      </c>
      <c r="B32" s="83" t="s">
        <v>266</v>
      </c>
      <c r="C32" s="97"/>
      <c r="D32" s="97"/>
      <c r="E32" s="337"/>
      <c r="F32" s="83">
        <v>26</v>
      </c>
      <c r="G32" s="83" t="s">
        <v>234</v>
      </c>
      <c r="H32" s="97">
        <f t="shared" si="3"/>
        <v>0</v>
      </c>
      <c r="I32" s="97">
        <f t="shared" si="3"/>
        <v>0</v>
      </c>
    </row>
    <row r="33" spans="1:9" s="36" customFormat="1" ht="18.75" x14ac:dyDescent="0.25">
      <c r="A33" s="83">
        <v>30</v>
      </c>
      <c r="B33" s="83" t="s">
        <v>236</v>
      </c>
      <c r="C33" s="341">
        <f>-'Asientos-1'!M400*'Asientos-1'!H400</f>
        <v>0</v>
      </c>
      <c r="D33" s="341">
        <f>-'Asientos-1'!O400*'Asientos-1'!H400</f>
        <v>0</v>
      </c>
      <c r="E33" s="337"/>
      <c r="F33" s="83">
        <v>29</v>
      </c>
      <c r="G33" s="83" t="s">
        <v>235</v>
      </c>
      <c r="H33" s="97">
        <f>+C31+C55</f>
        <v>0</v>
      </c>
      <c r="I33" s="97">
        <f>+D31+D55</f>
        <v>0</v>
      </c>
    </row>
    <row r="34" spans="1:9" s="36" customFormat="1" ht="19.5" x14ac:dyDescent="0.3">
      <c r="A34" s="83"/>
      <c r="B34" s="83"/>
      <c r="C34" s="342">
        <f>SUM(C14:C33)</f>
        <v>-450000</v>
      </c>
      <c r="D34" s="342">
        <f>SUM(D14:D33)</f>
        <v>-450000</v>
      </c>
      <c r="E34" s="337"/>
      <c r="F34" s="83">
        <v>31</v>
      </c>
      <c r="G34" s="83" t="s">
        <v>266</v>
      </c>
      <c r="H34" s="97"/>
      <c r="I34" s="97">
        <f>+D32+D54</f>
        <v>0</v>
      </c>
    </row>
    <row r="35" spans="1:9" s="36" customFormat="1" ht="19.5" x14ac:dyDescent="0.3">
      <c r="A35" s="83"/>
      <c r="B35" s="338" t="s">
        <v>409</v>
      </c>
      <c r="C35" s="97"/>
      <c r="D35" s="97"/>
      <c r="E35" s="337"/>
      <c r="F35" s="83">
        <v>30</v>
      </c>
      <c r="G35" s="83" t="s">
        <v>236</v>
      </c>
      <c r="H35" s="97">
        <f>+C33</f>
        <v>0</v>
      </c>
      <c r="I35" s="97">
        <f>+D33</f>
        <v>0</v>
      </c>
    </row>
    <row r="36" spans="1:9" s="36" customFormat="1" ht="18.75" x14ac:dyDescent="0.25">
      <c r="A36" s="83">
        <v>3</v>
      </c>
      <c r="B36" s="83" t="s">
        <v>280</v>
      </c>
      <c r="C36" s="97">
        <f>-'Asientos-1'!M41*'Asientos-1'!H41</f>
        <v>0</v>
      </c>
      <c r="D36" s="97">
        <v>0</v>
      </c>
      <c r="E36" s="337"/>
      <c r="F36" s="83">
        <v>20</v>
      </c>
      <c r="G36" s="83" t="s">
        <v>228</v>
      </c>
      <c r="H36" s="344">
        <f>+C47</f>
        <v>0</v>
      </c>
      <c r="I36" s="345">
        <v>0</v>
      </c>
    </row>
    <row r="37" spans="1:9" s="36" customFormat="1" ht="18.75" x14ac:dyDescent="0.25">
      <c r="A37" s="83">
        <v>4</v>
      </c>
      <c r="B37" s="83" t="s">
        <v>215</v>
      </c>
      <c r="C37" s="97">
        <f>-'Asientos-1'!M53*'Asientos-1'!H53</f>
        <v>0</v>
      </c>
      <c r="D37" s="97">
        <v>0</v>
      </c>
      <c r="E37" s="337"/>
      <c r="F37" s="83">
        <v>23</v>
      </c>
      <c r="G37" s="83" t="s">
        <v>231</v>
      </c>
      <c r="H37" s="346">
        <f>+C50</f>
        <v>0</v>
      </c>
      <c r="I37" s="347">
        <v>0</v>
      </c>
    </row>
    <row r="38" spans="1:9" s="36" customFormat="1" ht="19.5" x14ac:dyDescent="0.25">
      <c r="A38" s="83">
        <v>5</v>
      </c>
      <c r="B38" s="83" t="s">
        <v>216</v>
      </c>
      <c r="C38" s="97">
        <f>(+'Asientos-1'!N77-'Asientos-1'!M78)*'Asientos-1'!H78</f>
        <v>0</v>
      </c>
      <c r="D38" s="97">
        <v>0</v>
      </c>
      <c r="E38" s="337"/>
      <c r="F38" s="83"/>
      <c r="G38" s="335" t="s">
        <v>239</v>
      </c>
      <c r="H38" s="348">
        <f>SUM(H5:H37)</f>
        <v>105014577</v>
      </c>
      <c r="I38" s="349">
        <f>SUM(I5:I37)</f>
        <v>94007819</v>
      </c>
    </row>
    <row r="39" spans="1:9" s="36" customFormat="1" ht="19.5" x14ac:dyDescent="0.3">
      <c r="A39" s="481">
        <v>6</v>
      </c>
      <c r="B39" s="481" t="s">
        <v>217</v>
      </c>
      <c r="C39" s="482">
        <f>-'Asientos-1'!M84*'Asientos-1'!H84</f>
        <v>-150000</v>
      </c>
      <c r="D39" s="97">
        <v>0</v>
      </c>
      <c r="E39" s="337"/>
      <c r="F39" s="83"/>
      <c r="G39" s="83"/>
      <c r="H39" s="97"/>
      <c r="I39" s="97"/>
    </row>
    <row r="40" spans="1:9" s="36" customFormat="1" ht="18.75" x14ac:dyDescent="0.25">
      <c r="A40" s="83">
        <v>7</v>
      </c>
      <c r="B40" s="83" t="s">
        <v>218</v>
      </c>
      <c r="C40" s="97">
        <f>-'Asientos-1'!M102*'Asientos-1'!H102</f>
        <v>0</v>
      </c>
      <c r="D40" s="97">
        <v>0</v>
      </c>
      <c r="E40" s="337"/>
      <c r="F40" s="83"/>
      <c r="G40" s="83"/>
      <c r="I40" s="97"/>
    </row>
    <row r="41" spans="1:9" s="36" customFormat="1" ht="18.75" x14ac:dyDescent="0.25">
      <c r="A41" s="83">
        <v>10</v>
      </c>
      <c r="B41" s="83" t="s">
        <v>220</v>
      </c>
      <c r="C41" s="97">
        <f>-'Asientos-1'!M135*'Asientos-1'!H135</f>
        <v>0</v>
      </c>
      <c r="D41" s="97">
        <v>0</v>
      </c>
      <c r="E41" s="337"/>
      <c r="F41" s="83"/>
      <c r="G41" s="83"/>
      <c r="H41" s="97"/>
      <c r="I41" s="97"/>
    </row>
    <row r="42" spans="1:9" s="36" customFormat="1" ht="18.75" x14ac:dyDescent="0.25">
      <c r="A42" s="83">
        <v>11</v>
      </c>
      <c r="B42" s="83" t="s">
        <v>221</v>
      </c>
      <c r="C42" s="97">
        <f>+'Asientos-1'!N157*'Asientos-1'!H157</f>
        <v>0</v>
      </c>
      <c r="D42" s="97">
        <v>0</v>
      </c>
      <c r="E42" s="337"/>
      <c r="F42" s="83"/>
      <c r="G42" s="83"/>
      <c r="H42" s="97"/>
      <c r="I42" s="97"/>
    </row>
    <row r="43" spans="1:9" s="36" customFormat="1" ht="18.75" x14ac:dyDescent="0.25">
      <c r="A43" s="83">
        <v>13</v>
      </c>
      <c r="B43" s="83" t="s">
        <v>223</v>
      </c>
      <c r="C43" s="97">
        <f>(+'Asientos-1'!N202-'Asientos-1'!M198)*'Asientos-1'!H198</f>
        <v>0</v>
      </c>
      <c r="D43" s="97">
        <v>0</v>
      </c>
      <c r="E43" s="337"/>
      <c r="F43" s="83"/>
      <c r="G43" s="83"/>
      <c r="H43" s="97"/>
      <c r="I43" s="97"/>
    </row>
    <row r="44" spans="1:9" s="36" customFormat="1" ht="18.75" x14ac:dyDescent="0.25">
      <c r="A44" s="83">
        <v>15</v>
      </c>
      <c r="B44" s="83" t="s">
        <v>224</v>
      </c>
      <c r="C44" s="97"/>
      <c r="D44" s="97">
        <v>0</v>
      </c>
      <c r="E44" s="337"/>
      <c r="F44" s="83"/>
      <c r="G44" s="83"/>
      <c r="H44" s="97"/>
      <c r="I44" s="97"/>
    </row>
    <row r="45" spans="1:9" s="36" customFormat="1" ht="18.75" x14ac:dyDescent="0.25">
      <c r="A45" s="83">
        <v>16</v>
      </c>
      <c r="B45" s="83" t="s">
        <v>225</v>
      </c>
      <c r="C45" s="97">
        <f>-'Asientos-1'!M212*'Asientos-1'!H212</f>
        <v>0</v>
      </c>
      <c r="D45" s="97">
        <v>0</v>
      </c>
      <c r="E45" s="337"/>
      <c r="F45" s="83"/>
      <c r="G45" s="83"/>
      <c r="H45" s="97"/>
      <c r="I45" s="97"/>
    </row>
    <row r="46" spans="1:9" s="36" customFormat="1" ht="18.75" x14ac:dyDescent="0.25">
      <c r="A46" s="83">
        <v>17</v>
      </c>
      <c r="B46" s="83" t="s">
        <v>226</v>
      </c>
      <c r="C46" s="97">
        <f>(+'Asientos-1'!N230+'Asientos-1'!N232)*'Asientos-1'!H232</f>
        <v>0</v>
      </c>
      <c r="D46" s="97">
        <v>0</v>
      </c>
      <c r="E46" s="337"/>
      <c r="F46" s="83"/>
      <c r="G46" s="83"/>
      <c r="H46" s="97"/>
      <c r="I46" s="97"/>
    </row>
    <row r="47" spans="1:9" s="36" customFormat="1" ht="18.75" x14ac:dyDescent="0.25">
      <c r="A47" s="83">
        <v>20</v>
      </c>
      <c r="B47" s="83" t="s">
        <v>228</v>
      </c>
      <c r="C47" s="97">
        <f>-'Asientos-1'!M255*'Asientos-1'!H255</f>
        <v>0</v>
      </c>
      <c r="D47" s="97">
        <v>0</v>
      </c>
      <c r="E47" s="337"/>
      <c r="F47" s="83"/>
      <c r="G47" s="83"/>
      <c r="H47" s="97"/>
      <c r="I47" s="97"/>
    </row>
    <row r="48" spans="1:9" s="36" customFormat="1" ht="18.75" x14ac:dyDescent="0.25">
      <c r="A48" s="83">
        <v>21</v>
      </c>
      <c r="B48" s="83" t="s">
        <v>229</v>
      </c>
      <c r="C48" s="97">
        <f>-'Asientos-1'!M265*'Asientos-1'!H265</f>
        <v>0</v>
      </c>
      <c r="D48" s="97">
        <v>0</v>
      </c>
      <c r="E48" s="337"/>
      <c r="F48" s="83"/>
      <c r="G48" s="83"/>
      <c r="H48" s="97"/>
      <c r="I48" s="97"/>
    </row>
    <row r="49" spans="1:10" s="36" customFormat="1" ht="18.75" x14ac:dyDescent="0.25">
      <c r="A49" s="83">
        <v>22</v>
      </c>
      <c r="B49" s="83" t="s">
        <v>230</v>
      </c>
      <c r="C49" s="97">
        <f>(-'Asientos-1'!M280-'Asientos-1'!M284)*'Asientos-1'!H284</f>
        <v>0</v>
      </c>
      <c r="D49" s="97">
        <v>0</v>
      </c>
      <c r="E49" s="337"/>
      <c r="F49" s="83"/>
      <c r="G49" s="83"/>
      <c r="H49" s="97"/>
      <c r="I49" s="97"/>
    </row>
    <row r="50" spans="1:10" s="36" customFormat="1" ht="18.75" x14ac:dyDescent="0.25">
      <c r="A50" s="83">
        <v>23</v>
      </c>
      <c r="B50" s="83" t="s">
        <v>231</v>
      </c>
      <c r="C50" s="97">
        <f>-'Asientos-1'!M303*'Asientos-1'!H303</f>
        <v>0</v>
      </c>
      <c r="D50" s="97">
        <v>0</v>
      </c>
      <c r="E50" s="337"/>
      <c r="F50" s="83"/>
      <c r="G50" s="83"/>
      <c r="H50" s="97"/>
      <c r="I50" s="97"/>
    </row>
    <row r="51" spans="1:10" s="36" customFormat="1" ht="18.75" x14ac:dyDescent="0.25">
      <c r="A51" s="83">
        <v>24</v>
      </c>
      <c r="B51" s="83" t="s">
        <v>232</v>
      </c>
      <c r="C51" s="97">
        <f>+'Asientos-1'!N314*'Asientos-1'!H314</f>
        <v>0</v>
      </c>
      <c r="D51" s="97">
        <v>0</v>
      </c>
      <c r="E51" s="337"/>
      <c r="F51" s="83"/>
      <c r="G51" s="83"/>
      <c r="H51" s="97"/>
      <c r="I51" s="97"/>
    </row>
    <row r="52" spans="1:10" s="36" customFormat="1" ht="18.75" x14ac:dyDescent="0.25">
      <c r="A52" s="83">
        <v>25</v>
      </c>
      <c r="B52" s="83" t="s">
        <v>233</v>
      </c>
      <c r="C52" s="97">
        <f>-'Asientos-1'!M326*'Asientos-1'!H326</f>
        <v>0</v>
      </c>
      <c r="D52" s="97">
        <v>0</v>
      </c>
      <c r="E52" s="337"/>
      <c r="F52" s="83"/>
      <c r="G52" s="83"/>
      <c r="H52" s="97"/>
      <c r="I52" s="97"/>
    </row>
    <row r="53" spans="1:10" s="36" customFormat="1" ht="18.75" x14ac:dyDescent="0.25">
      <c r="A53" s="83">
        <v>26</v>
      </c>
      <c r="B53" s="83" t="s">
        <v>234</v>
      </c>
      <c r="C53" s="97">
        <f>-'Asientos-1'!M366*'Asientos-1'!H366</f>
        <v>0</v>
      </c>
      <c r="D53" s="97">
        <v>0</v>
      </c>
      <c r="E53" s="337"/>
      <c r="F53" s="83"/>
      <c r="G53" s="83"/>
      <c r="H53" s="97"/>
      <c r="I53" s="97"/>
    </row>
    <row r="54" spans="1:10" s="36" customFormat="1" ht="18.75" x14ac:dyDescent="0.25">
      <c r="A54" s="83">
        <v>31</v>
      </c>
      <c r="B54" s="83" t="s">
        <v>266</v>
      </c>
      <c r="C54" s="97"/>
      <c r="D54" s="97"/>
      <c r="E54" s="83"/>
      <c r="F54" s="83"/>
      <c r="G54" s="83"/>
      <c r="H54" s="97"/>
      <c r="I54" s="97"/>
    </row>
    <row r="55" spans="1:10" s="36" customFormat="1" ht="18.75" x14ac:dyDescent="0.25">
      <c r="A55" s="83">
        <v>29</v>
      </c>
      <c r="B55" s="83" t="s">
        <v>371</v>
      </c>
      <c r="C55" s="341"/>
      <c r="D55" s="341"/>
      <c r="E55" s="337"/>
      <c r="F55" s="83"/>
      <c r="G55" s="83"/>
      <c r="H55" s="97"/>
      <c r="I55" s="97"/>
    </row>
    <row r="56" spans="1:10" s="36" customFormat="1" ht="19.5" x14ac:dyDescent="0.3">
      <c r="A56" s="83"/>
      <c r="B56" s="83"/>
      <c r="C56" s="342">
        <f>SUM(C36:C55)</f>
        <v>-150000</v>
      </c>
      <c r="D56" s="342">
        <f>SUM(D36:D55)</f>
        <v>0</v>
      </c>
      <c r="E56" s="83"/>
      <c r="F56" s="83"/>
      <c r="G56" s="350" t="s">
        <v>406</v>
      </c>
      <c r="H56" s="351">
        <f>+H38-H5-C61</f>
        <v>0</v>
      </c>
      <c r="I56" s="351">
        <f>+I38-I5-D61</f>
        <v>0</v>
      </c>
    </row>
    <row r="57" spans="1:10" s="36" customFormat="1" ht="19.5" x14ac:dyDescent="0.3">
      <c r="A57" s="352"/>
      <c r="B57" s="353" t="s">
        <v>239</v>
      </c>
      <c r="C57" s="336">
        <f>+C4+C9+C11+C34+C56</f>
        <v>105014577</v>
      </c>
      <c r="D57" s="336">
        <f>+D4+D9+D11+D34+D56</f>
        <v>94007819</v>
      </c>
      <c r="E57" s="83"/>
      <c r="F57" s="83"/>
      <c r="G57" s="350" t="s">
        <v>406</v>
      </c>
      <c r="H57" s="351">
        <f>+C57-H38</f>
        <v>0</v>
      </c>
      <c r="I57" s="351">
        <f>+D57-I38</f>
        <v>0</v>
      </c>
    </row>
    <row r="58" spans="1:10" s="36" customFormat="1" ht="19.5" x14ac:dyDescent="0.3">
      <c r="A58" s="83"/>
      <c r="B58" s="83"/>
      <c r="C58" s="83"/>
      <c r="D58" s="83"/>
      <c r="E58" s="337"/>
      <c r="F58" s="83"/>
      <c r="G58" s="83"/>
      <c r="H58" s="342"/>
      <c r="I58" s="342"/>
    </row>
    <row r="59" spans="1:10" s="36" customFormat="1" ht="19.5" x14ac:dyDescent="0.3">
      <c r="A59" s="83"/>
      <c r="B59" s="338" t="s">
        <v>269</v>
      </c>
      <c r="C59" s="342">
        <f ca="1">+C57-Matriz!M49</f>
        <v>0</v>
      </c>
      <c r="D59" s="342">
        <f ca="1">+D57-Matriz!N49</f>
        <v>0</v>
      </c>
      <c r="E59" s="83"/>
      <c r="F59" s="83"/>
      <c r="G59" s="83"/>
      <c r="H59" s="83"/>
      <c r="I59" s="83"/>
    </row>
    <row r="60" spans="1:10" s="36" customFormat="1" ht="19.5" x14ac:dyDescent="0.3">
      <c r="A60" s="83"/>
      <c r="B60" s="83"/>
      <c r="C60" s="354"/>
      <c r="D60" s="354"/>
      <c r="E60" s="83"/>
      <c r="F60" s="83"/>
      <c r="G60" s="83"/>
      <c r="H60" s="83"/>
      <c r="I60" s="83"/>
    </row>
    <row r="61" spans="1:10" s="352" customFormat="1" ht="19.5" x14ac:dyDescent="0.3">
      <c r="B61" s="355" t="s">
        <v>270</v>
      </c>
      <c r="C61" s="356">
        <f>+C34+C56+C11+C9</f>
        <v>-600000</v>
      </c>
      <c r="D61" s="356">
        <f>+D34+D56+D11+D9</f>
        <v>-450000</v>
      </c>
      <c r="H61" s="357"/>
      <c r="I61" s="357"/>
    </row>
    <row r="62" spans="1:10" s="14" customFormat="1" x14ac:dyDescent="0.2">
      <c r="D62" s="190"/>
      <c r="F62" s="13"/>
      <c r="G62" s="13"/>
      <c r="H62" s="13"/>
      <c r="I62" s="13"/>
      <c r="J62" s="33"/>
    </row>
    <row r="63" spans="1:10" s="14" customFormat="1" ht="12.75" x14ac:dyDescent="0.2">
      <c r="F63" s="13"/>
      <c r="G63" s="13"/>
      <c r="H63" s="13"/>
      <c r="I63" s="13"/>
    </row>
    <row r="64" spans="1:10" s="14" customFormat="1" ht="12.75" x14ac:dyDescent="0.2">
      <c r="F64" s="13"/>
      <c r="G64" s="13"/>
      <c r="H64" s="13"/>
      <c r="I64" s="13"/>
    </row>
    <row r="65" spans="1:9" s="14" customFormat="1" ht="12.75" x14ac:dyDescent="0.2">
      <c r="F65" s="13"/>
      <c r="G65" s="13"/>
      <c r="H65" s="13"/>
      <c r="I65" s="13"/>
    </row>
    <row r="66" spans="1:9" s="14" customFormat="1" x14ac:dyDescent="0.25">
      <c r="A66"/>
      <c r="F66"/>
    </row>
  </sheetData>
  <printOptions horizontalCentered="1"/>
  <pageMargins left="0.31496062992125984" right="0.31496062992125984" top="0.35433070866141736" bottom="0.74803149606299213" header="0.31496062992125984" footer="0.31496062992125984"/>
  <pageSetup scale="5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92"/>
  <sheetViews>
    <sheetView zoomScale="110" zoomScaleNormal="110" workbookViewId="0">
      <pane xSplit="10" ySplit="4" topLeftCell="K5" activePane="bottomRight" state="frozen"/>
      <selection pane="topRight" activeCell="G1" sqref="G1"/>
      <selection pane="bottomLeft" activeCell="A4" sqref="A4"/>
      <selection pane="bottomRight" activeCell="E18" sqref="E18"/>
    </sheetView>
  </sheetViews>
  <sheetFormatPr baseColWidth="10" defaultColWidth="9.140625" defaultRowHeight="15" x14ac:dyDescent="0.25"/>
  <cols>
    <col min="1" max="1" width="7.140625" style="14" customWidth="1"/>
    <col min="2" max="2" width="39.85546875" style="14" bestFit="1" customWidth="1"/>
    <col min="3" max="3" width="2.140625" style="14" customWidth="1"/>
    <col min="4" max="4" width="16.7109375" style="14" bestFit="1" customWidth="1"/>
    <col min="5" max="5" width="16.85546875" style="14" bestFit="1" customWidth="1"/>
    <col min="6" max="6" width="16.7109375" style="14" bestFit="1" customWidth="1"/>
    <col min="7" max="7" width="4" customWidth="1"/>
    <col min="8" max="8" width="16.28515625" bestFit="1" customWidth="1"/>
    <col min="9" max="9" width="12.42578125" bestFit="1" customWidth="1"/>
    <col min="10" max="10" width="17.140625" style="14" bestFit="1" customWidth="1"/>
    <col min="11" max="50" width="14.7109375" customWidth="1"/>
  </cols>
  <sheetData>
    <row r="1" spans="1:10" s="365" customFormat="1" ht="21" x14ac:dyDescent="0.35">
      <c r="A1" s="362" t="s">
        <v>274</v>
      </c>
      <c r="B1" s="363"/>
      <c r="C1" s="364"/>
      <c r="D1" s="509" t="s">
        <v>407</v>
      </c>
      <c r="E1" s="509"/>
      <c r="F1" s="509"/>
      <c r="G1" s="334"/>
      <c r="H1" s="509" t="s">
        <v>408</v>
      </c>
      <c r="I1" s="509"/>
      <c r="J1" s="509"/>
    </row>
    <row r="2" spans="1:10" s="365" customFormat="1" ht="21" x14ac:dyDescent="0.35">
      <c r="A2" s="362" t="s">
        <v>275</v>
      </c>
      <c r="B2" s="363"/>
      <c r="C2" s="334"/>
      <c r="D2" s="366" t="s">
        <v>56</v>
      </c>
      <c r="E2" s="366" t="s">
        <v>136</v>
      </c>
      <c r="F2" s="366" t="s">
        <v>50</v>
      </c>
      <c r="G2" s="334"/>
      <c r="H2" s="366" t="s">
        <v>56</v>
      </c>
      <c r="I2" s="366" t="s">
        <v>136</v>
      </c>
      <c r="J2" s="366" t="s">
        <v>50</v>
      </c>
    </row>
    <row r="3" spans="1:10" s="368" customFormat="1" ht="20.25" x14ac:dyDescent="0.3">
      <c r="A3" s="366"/>
      <c r="B3" s="363"/>
      <c r="C3" s="334"/>
      <c r="D3" s="367" t="s">
        <v>54</v>
      </c>
      <c r="E3" s="367" t="s">
        <v>54</v>
      </c>
      <c r="F3" s="367" t="s">
        <v>54</v>
      </c>
      <c r="G3" s="334"/>
      <c r="H3" s="367" t="s">
        <v>54</v>
      </c>
      <c r="I3" s="367" t="s">
        <v>54</v>
      </c>
      <c r="J3" s="367" t="s">
        <v>54</v>
      </c>
    </row>
    <row r="4" spans="1:10" s="14" customFormat="1" x14ac:dyDescent="0.2">
      <c r="A4" s="12"/>
      <c r="B4" s="38" t="s">
        <v>55</v>
      </c>
      <c r="C4" s="12"/>
      <c r="D4" s="12"/>
      <c r="E4" s="39"/>
      <c r="F4" s="12"/>
      <c r="G4" s="13"/>
      <c r="H4" s="13"/>
      <c r="I4" s="12"/>
      <c r="J4" s="39"/>
    </row>
    <row r="5" spans="1:10" s="14" customFormat="1" x14ac:dyDescent="0.2">
      <c r="A5" s="12"/>
      <c r="B5" s="38" t="s">
        <v>59</v>
      </c>
      <c r="C5" s="12"/>
      <c r="D5" s="31"/>
      <c r="E5" s="39"/>
      <c r="F5" s="31"/>
      <c r="G5" s="13"/>
      <c r="H5" s="31"/>
      <c r="I5" s="39"/>
      <c r="J5" s="12"/>
    </row>
    <row r="6" spans="1:10" s="14" customFormat="1" ht="14.25" x14ac:dyDescent="0.2">
      <c r="A6" s="12" t="s">
        <v>60</v>
      </c>
      <c r="B6" s="31" t="s">
        <v>61</v>
      </c>
      <c r="C6" s="12"/>
      <c r="D6" s="41">
        <f>+Matriz!D9</f>
        <v>4979761</v>
      </c>
      <c r="E6" s="39">
        <f t="shared" ref="E6:E13" ca="1" si="0">+F6-D6</f>
        <v>0</v>
      </c>
      <c r="F6" s="369">
        <f ca="1">+Matriz!M9</f>
        <v>4979761</v>
      </c>
      <c r="G6" s="13"/>
      <c r="H6" s="40">
        <f>+Matriz!E9</f>
        <v>41365786</v>
      </c>
      <c r="I6" s="39">
        <f t="shared" ref="I6:I13" ca="1" si="1">+J6-H6</f>
        <v>0</v>
      </c>
      <c r="J6" s="369">
        <f ca="1">+Matriz!N9</f>
        <v>41365786</v>
      </c>
    </row>
    <row r="7" spans="1:10" s="14" customFormat="1" ht="14.25" x14ac:dyDescent="0.2">
      <c r="A7" s="12" t="s">
        <v>62</v>
      </c>
      <c r="B7" s="32" t="s">
        <v>63</v>
      </c>
      <c r="C7" s="12"/>
      <c r="D7" s="41">
        <f>+Matriz!D10</f>
        <v>8677903</v>
      </c>
      <c r="E7" s="39">
        <f t="shared" ca="1" si="0"/>
        <v>0</v>
      </c>
      <c r="F7" s="369">
        <f ca="1">+Matriz!M10</f>
        <v>8677903</v>
      </c>
      <c r="G7" s="13"/>
      <c r="H7" s="40">
        <f>+Matriz!E10</f>
        <v>19800738</v>
      </c>
      <c r="I7" s="39">
        <f t="shared" ca="1" si="1"/>
        <v>0</v>
      </c>
      <c r="J7" s="369">
        <f ca="1">+Matriz!N10</f>
        <v>19800738</v>
      </c>
    </row>
    <row r="8" spans="1:10" s="14" customFormat="1" ht="14.25" x14ac:dyDescent="0.2">
      <c r="A8" s="12" t="s">
        <v>64</v>
      </c>
      <c r="B8" s="31" t="s">
        <v>65</v>
      </c>
      <c r="C8" s="12"/>
      <c r="D8" s="41">
        <f>+Matriz!D11</f>
        <v>157947</v>
      </c>
      <c r="E8" s="39">
        <f t="shared" ca="1" si="0"/>
        <v>0</v>
      </c>
      <c r="F8" s="369">
        <f ca="1">+Matriz!M11</f>
        <v>157947</v>
      </c>
      <c r="G8" s="13"/>
      <c r="H8" s="40">
        <f>+Matriz!E11</f>
        <v>0</v>
      </c>
      <c r="I8" s="39">
        <f t="shared" ca="1" si="1"/>
        <v>0</v>
      </c>
      <c r="J8" s="369">
        <f ca="1">+Matriz!N11</f>
        <v>0</v>
      </c>
    </row>
    <row r="9" spans="1:10" s="14" customFormat="1" ht="14.25" x14ac:dyDescent="0.2">
      <c r="A9" s="12" t="s">
        <v>66</v>
      </c>
      <c r="B9" s="32" t="s">
        <v>67</v>
      </c>
      <c r="C9" s="12"/>
      <c r="D9" s="41">
        <f>+Matriz!D12</f>
        <v>8591901</v>
      </c>
      <c r="E9" s="39">
        <f t="shared" ca="1" si="0"/>
        <v>0</v>
      </c>
      <c r="F9" s="369">
        <f ca="1">+Matriz!M12</f>
        <v>8591901</v>
      </c>
      <c r="G9" s="13"/>
      <c r="H9" s="40">
        <f>+Matriz!E12</f>
        <v>8611271</v>
      </c>
      <c r="I9" s="39">
        <f t="shared" ca="1" si="1"/>
        <v>0</v>
      </c>
      <c r="J9" s="375">
        <f ca="1">+Matriz!N12</f>
        <v>8611271</v>
      </c>
    </row>
    <row r="10" spans="1:10" s="14" customFormat="1" ht="14.25" x14ac:dyDescent="0.2">
      <c r="A10" s="12" t="s">
        <v>68</v>
      </c>
      <c r="B10" s="31" t="s">
        <v>69</v>
      </c>
      <c r="C10" s="12"/>
      <c r="D10" s="41">
        <f>+Matriz!D13</f>
        <v>1038707</v>
      </c>
      <c r="E10" s="39">
        <f t="shared" ca="1" si="0"/>
        <v>0</v>
      </c>
      <c r="F10" s="369">
        <f ca="1">+Matriz!M13</f>
        <v>1038707</v>
      </c>
      <c r="G10" s="13"/>
      <c r="H10" s="40">
        <f>+Matriz!E13</f>
        <v>416646</v>
      </c>
      <c r="I10" s="39">
        <f t="shared" ca="1" si="1"/>
        <v>0</v>
      </c>
      <c r="J10" s="369">
        <f ca="1">+Matriz!N13</f>
        <v>416646</v>
      </c>
    </row>
    <row r="11" spans="1:10" s="14" customFormat="1" ht="14.25" x14ac:dyDescent="0.2">
      <c r="A11" s="12" t="s">
        <v>70</v>
      </c>
      <c r="B11" s="32" t="s">
        <v>71</v>
      </c>
      <c r="C11" s="12"/>
      <c r="D11" s="42">
        <f>+Matriz!D14</f>
        <v>5748442</v>
      </c>
      <c r="E11" s="39">
        <f t="shared" ca="1" si="0"/>
        <v>0</v>
      </c>
      <c r="F11" s="370">
        <f ca="1">+Matriz!M14</f>
        <v>5748442</v>
      </c>
      <c r="G11" s="13"/>
      <c r="H11" s="42">
        <f>+Matriz!E14</f>
        <v>5821147</v>
      </c>
      <c r="I11" s="39">
        <f t="shared" ca="1" si="1"/>
        <v>0</v>
      </c>
      <c r="J11" s="376">
        <f ca="1">+Matriz!N14</f>
        <v>5821147</v>
      </c>
    </row>
    <row r="12" spans="1:10" s="14" customFormat="1" ht="14.25" x14ac:dyDescent="0.2">
      <c r="A12" s="12" t="s">
        <v>72</v>
      </c>
      <c r="B12" s="32" t="s">
        <v>73</v>
      </c>
      <c r="C12" s="12"/>
      <c r="D12" s="41">
        <f>+Matriz!D15</f>
        <v>127011</v>
      </c>
      <c r="E12" s="39">
        <f t="shared" ca="1" si="0"/>
        <v>0</v>
      </c>
      <c r="F12" s="369">
        <f ca="1">+Matriz!M15</f>
        <v>127011</v>
      </c>
      <c r="G12" s="13"/>
      <c r="H12" s="40">
        <f>+Matriz!E15</f>
        <v>281380</v>
      </c>
      <c r="I12" s="39">
        <f t="shared" ca="1" si="1"/>
        <v>0</v>
      </c>
      <c r="J12" s="369">
        <f ca="1">+Matriz!N15</f>
        <v>281380</v>
      </c>
    </row>
    <row r="13" spans="1:10" s="14" customFormat="1" ht="14.25" x14ac:dyDescent="0.2">
      <c r="A13" s="12" t="s">
        <v>74</v>
      </c>
      <c r="B13" s="32" t="s">
        <v>75</v>
      </c>
      <c r="C13" s="12"/>
      <c r="D13" s="42">
        <f>+Matriz!D16</f>
        <v>0</v>
      </c>
      <c r="E13" s="39">
        <f t="shared" ca="1" si="0"/>
        <v>0</v>
      </c>
      <c r="F13" s="370">
        <f ca="1">+Matriz!M16</f>
        <v>0</v>
      </c>
      <c r="G13" s="13"/>
      <c r="H13" s="42">
        <f>+Matriz!E16</f>
        <v>0</v>
      </c>
      <c r="I13" s="39">
        <f t="shared" ca="1" si="1"/>
        <v>0</v>
      </c>
      <c r="J13" s="376">
        <f ca="1">+Matriz!N16</f>
        <v>0</v>
      </c>
    </row>
    <row r="14" spans="1:10" s="14" customFormat="1" x14ac:dyDescent="0.2">
      <c r="A14" s="12"/>
      <c r="B14" s="38" t="s">
        <v>76</v>
      </c>
      <c r="C14" s="12"/>
      <c r="D14" s="43">
        <f>SUM(D6:D13)</f>
        <v>29321672</v>
      </c>
      <c r="E14" s="39"/>
      <c r="F14" s="371">
        <f ca="1">SUM(F6:F13)</f>
        <v>29321672</v>
      </c>
      <c r="G14" s="13"/>
      <c r="H14" s="43">
        <f>SUM(H6:H13)</f>
        <v>76296968</v>
      </c>
      <c r="I14" s="39"/>
      <c r="J14" s="371">
        <f ca="1">SUM(J6:J13)</f>
        <v>76296968</v>
      </c>
    </row>
    <row r="15" spans="1:10" s="14" customFormat="1" ht="8.25" customHeight="1" x14ac:dyDescent="0.2">
      <c r="A15" s="12"/>
      <c r="B15" s="38"/>
      <c r="C15" s="12"/>
      <c r="D15" s="43"/>
      <c r="E15" s="39"/>
      <c r="F15" s="371"/>
      <c r="G15" s="13"/>
      <c r="H15" s="43"/>
      <c r="I15" s="39"/>
      <c r="J15" s="371"/>
    </row>
    <row r="16" spans="1:10" s="14" customFormat="1" x14ac:dyDescent="0.2">
      <c r="A16" s="12"/>
      <c r="B16" s="38" t="s">
        <v>77</v>
      </c>
      <c r="C16" s="12"/>
      <c r="D16" s="15"/>
      <c r="E16" s="39"/>
      <c r="F16" s="372"/>
      <c r="G16" s="13"/>
      <c r="H16" s="15"/>
      <c r="I16" s="39"/>
      <c r="J16" s="372"/>
    </row>
    <row r="17" spans="1:10" s="14" customFormat="1" ht="14.25" x14ac:dyDescent="0.2">
      <c r="A17" s="12" t="s">
        <v>78</v>
      </c>
      <c r="B17" s="31" t="s">
        <v>65</v>
      </c>
      <c r="C17" s="12"/>
      <c r="D17" s="41">
        <f>+Matriz!D19</f>
        <v>51828700</v>
      </c>
      <c r="E17" s="39">
        <f t="shared" ref="E17:E25" ca="1" si="2">+F17-D17</f>
        <v>0</v>
      </c>
      <c r="F17" s="369">
        <f ca="1">+Matriz!M19</f>
        <v>51828700</v>
      </c>
      <c r="G17" s="13"/>
      <c r="H17" s="40">
        <f>+Matriz!E19</f>
        <v>0</v>
      </c>
      <c r="I17" s="39">
        <f t="shared" ref="I17:I25" ca="1" si="3">+J17-H17</f>
        <v>0</v>
      </c>
      <c r="J17" s="369">
        <f ca="1">+Matriz!N19</f>
        <v>0</v>
      </c>
    </row>
    <row r="18" spans="1:10" s="14" customFormat="1" ht="14.25" x14ac:dyDescent="0.2">
      <c r="A18" s="12" t="s">
        <v>79</v>
      </c>
      <c r="B18" s="441" t="s">
        <v>137</v>
      </c>
      <c r="C18" s="442"/>
      <c r="D18" s="443">
        <f>+Matriz!D20</f>
        <v>22473937</v>
      </c>
      <c r="E18" s="444">
        <f ca="1">+F18-D18</f>
        <v>-600000</v>
      </c>
      <c r="F18" s="445">
        <f ca="1">+Matriz!M20</f>
        <v>21873937</v>
      </c>
      <c r="G18" s="13"/>
      <c r="H18" s="445">
        <f>+Matriz!E20</f>
        <v>28170908</v>
      </c>
      <c r="I18" s="444">
        <f t="shared" ca="1" si="3"/>
        <v>-450000</v>
      </c>
      <c r="J18" s="445">
        <f ca="1">+Matriz!N20</f>
        <v>27720908</v>
      </c>
    </row>
    <row r="19" spans="1:10" s="14" customFormat="1" ht="14.25" x14ac:dyDescent="0.2">
      <c r="A19" s="12" t="s">
        <v>198</v>
      </c>
      <c r="B19" s="31" t="s">
        <v>199</v>
      </c>
      <c r="C19" s="12"/>
      <c r="D19" s="41">
        <f>+Matriz!D21</f>
        <v>0</v>
      </c>
      <c r="E19" s="39">
        <f t="shared" ca="1" si="2"/>
        <v>0</v>
      </c>
      <c r="F19" s="369">
        <f ca="1">+Matriz!M21</f>
        <v>0</v>
      </c>
      <c r="G19" s="13"/>
      <c r="H19" s="40">
        <f>+Matriz!E21</f>
        <v>0</v>
      </c>
      <c r="I19" s="39">
        <f t="shared" ca="1" si="3"/>
        <v>0</v>
      </c>
      <c r="J19" s="369">
        <f ca="1">+Matriz!N21</f>
        <v>0</v>
      </c>
    </row>
    <row r="20" spans="1:10" s="14" customFormat="1" ht="14.25" x14ac:dyDescent="0.2">
      <c r="A20" s="12" t="s">
        <v>196</v>
      </c>
      <c r="B20" s="31" t="s">
        <v>197</v>
      </c>
      <c r="C20" s="12"/>
      <c r="D20" s="41">
        <f>+Matriz!D22</f>
        <v>0</v>
      </c>
      <c r="E20" s="39">
        <f t="shared" ca="1" si="2"/>
        <v>0</v>
      </c>
      <c r="F20" s="369">
        <f ca="1">+Matriz!M22</f>
        <v>0</v>
      </c>
      <c r="G20" s="13"/>
      <c r="H20" s="40">
        <f>+Matriz!E22</f>
        <v>0</v>
      </c>
      <c r="I20" s="39">
        <f t="shared" ca="1" si="3"/>
        <v>0</v>
      </c>
      <c r="J20" s="369">
        <f ca="1">+Matriz!N22</f>
        <v>0</v>
      </c>
    </row>
    <row r="21" spans="1:10" s="14" customFormat="1" ht="14.25" x14ac:dyDescent="0.2">
      <c r="A21" s="12" t="s">
        <v>175</v>
      </c>
      <c r="B21" s="31" t="s">
        <v>176</v>
      </c>
      <c r="C21" s="12"/>
      <c r="D21" s="41">
        <f>+Matriz!D23</f>
        <v>0</v>
      </c>
      <c r="E21" s="39">
        <f t="shared" ca="1" si="2"/>
        <v>0</v>
      </c>
      <c r="F21" s="369">
        <f ca="1">+Matriz!M23</f>
        <v>0</v>
      </c>
      <c r="G21" s="13"/>
      <c r="H21" s="40">
        <f>+Matriz!E23</f>
        <v>0</v>
      </c>
      <c r="I21" s="39">
        <f t="shared" ca="1" si="3"/>
        <v>0</v>
      </c>
      <c r="J21" s="369">
        <f ca="1">+Matriz!N23</f>
        <v>0</v>
      </c>
    </row>
    <row r="22" spans="1:10" s="14" customFormat="1" ht="14.25" x14ac:dyDescent="0.2">
      <c r="A22" s="12" t="s">
        <v>177</v>
      </c>
      <c r="B22" s="31" t="s">
        <v>174</v>
      </c>
      <c r="C22" s="12"/>
      <c r="D22" s="41">
        <f>+Matriz!D24</f>
        <v>3200000</v>
      </c>
      <c r="E22" s="39">
        <f t="shared" ca="1" si="2"/>
        <v>0</v>
      </c>
      <c r="F22" s="369">
        <f ca="1">+Matriz!M24</f>
        <v>3200000</v>
      </c>
      <c r="G22" s="13"/>
      <c r="H22" s="40">
        <f>+Matriz!E24</f>
        <v>3200000</v>
      </c>
      <c r="I22" s="39">
        <f t="shared" ca="1" si="3"/>
        <v>0</v>
      </c>
      <c r="J22" s="369">
        <f ca="1">+Matriz!N24</f>
        <v>3200000</v>
      </c>
    </row>
    <row r="23" spans="1:10" s="14" customFormat="1" ht="14.25" x14ac:dyDescent="0.2">
      <c r="A23" s="12" t="s">
        <v>182</v>
      </c>
      <c r="B23" s="31" t="s">
        <v>183</v>
      </c>
      <c r="C23" s="12"/>
      <c r="D23" s="41">
        <f>+Matriz!D25</f>
        <v>2250000</v>
      </c>
      <c r="E23" s="39">
        <f t="shared" ca="1" si="2"/>
        <v>0</v>
      </c>
      <c r="F23" s="369">
        <f ca="1">+Matriz!M25</f>
        <v>2250000</v>
      </c>
      <c r="G23" s="13"/>
      <c r="H23" s="40">
        <f>+Matriz!E25</f>
        <v>2500000</v>
      </c>
      <c r="I23" s="39">
        <f t="shared" ca="1" si="3"/>
        <v>0</v>
      </c>
      <c r="J23" s="369">
        <f ca="1">+Matriz!N25</f>
        <v>2500000</v>
      </c>
    </row>
    <row r="24" spans="1:10" s="14" customFormat="1" ht="14.25" x14ac:dyDescent="0.2">
      <c r="A24" s="12" t="s">
        <v>264</v>
      </c>
      <c r="B24" s="31" t="s">
        <v>265</v>
      </c>
      <c r="C24" s="12"/>
      <c r="D24" s="41">
        <v>0</v>
      </c>
      <c r="E24" s="39">
        <f t="shared" ca="1" si="2"/>
        <v>0</v>
      </c>
      <c r="F24" s="369">
        <f ca="1">+Matriz!M26</f>
        <v>0</v>
      </c>
      <c r="G24" s="13"/>
      <c r="H24" s="40">
        <f>+Matriz!E26</f>
        <v>0</v>
      </c>
      <c r="I24" s="39">
        <f t="shared" ca="1" si="3"/>
        <v>0</v>
      </c>
      <c r="J24" s="369">
        <f ca="1">+Matriz!N26</f>
        <v>0</v>
      </c>
    </row>
    <row r="25" spans="1:10" s="14" customFormat="1" ht="14.25" x14ac:dyDescent="0.2">
      <c r="A25" s="12" t="s">
        <v>80</v>
      </c>
      <c r="B25" s="31" t="s">
        <v>173</v>
      </c>
      <c r="C25" s="12"/>
      <c r="D25" s="42">
        <f>+Matriz!D27</f>
        <v>10321008</v>
      </c>
      <c r="E25" s="39">
        <f t="shared" ca="1" si="2"/>
        <v>0</v>
      </c>
      <c r="F25" s="370">
        <f ca="1">+Matriz!M27</f>
        <v>10321008</v>
      </c>
      <c r="G25" s="13"/>
      <c r="H25" s="40">
        <f>+Matriz!E27</f>
        <v>0</v>
      </c>
      <c r="I25" s="39">
        <f t="shared" ca="1" si="3"/>
        <v>0</v>
      </c>
      <c r="J25" s="370">
        <f ca="1">+Matriz!N27</f>
        <v>0</v>
      </c>
    </row>
    <row r="26" spans="1:10" s="14" customFormat="1" ht="15.75" thickBot="1" x14ac:dyDescent="0.25">
      <c r="A26" s="12"/>
      <c r="B26" s="38" t="s">
        <v>81</v>
      </c>
      <c r="C26" s="12"/>
      <c r="D26" s="44">
        <f>SUM(D14:D25)</f>
        <v>119395317</v>
      </c>
      <c r="E26" s="39"/>
      <c r="F26" s="373">
        <f ca="1">SUM(F14:F25)</f>
        <v>118795317</v>
      </c>
      <c r="G26" s="13"/>
      <c r="H26" s="44">
        <f>SUM(H14:H25)</f>
        <v>110167876</v>
      </c>
      <c r="I26" s="39"/>
      <c r="J26" s="373">
        <f ca="1">SUM(J14:J25)</f>
        <v>109717876</v>
      </c>
    </row>
    <row r="27" spans="1:10" s="14" customFormat="1" ht="7.5" customHeight="1" x14ac:dyDescent="0.2">
      <c r="A27" s="12"/>
      <c r="B27" s="12"/>
      <c r="C27" s="12"/>
      <c r="D27" s="15"/>
      <c r="E27" s="39"/>
      <c r="F27" s="372"/>
      <c r="G27" s="13"/>
      <c r="H27" s="15"/>
      <c r="I27" s="39"/>
      <c r="J27" s="372"/>
    </row>
    <row r="28" spans="1:10" s="14" customFormat="1" x14ac:dyDescent="0.2">
      <c r="A28" s="12"/>
      <c r="B28" s="38" t="s">
        <v>82</v>
      </c>
      <c r="C28" s="12"/>
      <c r="D28" s="15"/>
      <c r="E28" s="39"/>
      <c r="F28" s="372"/>
      <c r="G28" s="13"/>
      <c r="H28" s="15"/>
      <c r="I28" s="39"/>
      <c r="J28" s="372"/>
    </row>
    <row r="29" spans="1:10" s="14" customFormat="1" x14ac:dyDescent="0.2">
      <c r="A29" s="12"/>
      <c r="B29" s="38" t="s">
        <v>83</v>
      </c>
      <c r="C29" s="12"/>
      <c r="D29" s="15"/>
      <c r="E29" s="39"/>
      <c r="F29" s="372"/>
      <c r="G29" s="13"/>
      <c r="H29" s="15"/>
      <c r="I29" s="39"/>
      <c r="J29" s="372"/>
    </row>
    <row r="30" spans="1:10" s="14" customFormat="1" ht="14.25" x14ac:dyDescent="0.2">
      <c r="A30" s="12" t="s">
        <v>84</v>
      </c>
      <c r="B30" s="31" t="s">
        <v>85</v>
      </c>
      <c r="C30" s="12"/>
      <c r="D30" s="41">
        <f>+Matriz!D32</f>
        <v>769626</v>
      </c>
      <c r="E30" s="39">
        <f t="shared" ref="E30:E35" ca="1" si="4">+F30-D30</f>
        <v>0</v>
      </c>
      <c r="F30" s="369">
        <f ca="1">+Matriz!M32</f>
        <v>769626</v>
      </c>
      <c r="G30" s="13"/>
      <c r="H30" s="40">
        <f>+Matriz!E32</f>
        <v>2038679</v>
      </c>
      <c r="I30" s="39">
        <f t="shared" ref="I30:I35" ca="1" si="5">+J30-H30</f>
        <v>0</v>
      </c>
      <c r="J30" s="369">
        <f ca="1">+Matriz!N32</f>
        <v>2038679</v>
      </c>
    </row>
    <row r="31" spans="1:10" s="14" customFormat="1" ht="14.25" x14ac:dyDescent="0.2">
      <c r="A31" s="12" t="s">
        <v>86</v>
      </c>
      <c r="B31" s="31" t="s">
        <v>87</v>
      </c>
      <c r="C31" s="12"/>
      <c r="D31" s="41">
        <f>+Matriz!D33</f>
        <v>251166</v>
      </c>
      <c r="E31" s="39">
        <f t="shared" ca="1" si="4"/>
        <v>0</v>
      </c>
      <c r="F31" s="369">
        <f ca="1">+Matriz!M33</f>
        <v>251166</v>
      </c>
      <c r="G31" s="13"/>
      <c r="H31" s="40">
        <f>+Matriz!E33</f>
        <v>1919321</v>
      </c>
      <c r="I31" s="39">
        <f t="shared" ca="1" si="5"/>
        <v>0</v>
      </c>
      <c r="J31" s="369">
        <f ca="1">+Matriz!N33</f>
        <v>1919321</v>
      </c>
    </row>
    <row r="32" spans="1:10" s="14" customFormat="1" ht="14.25" x14ac:dyDescent="0.2">
      <c r="A32" s="12" t="s">
        <v>169</v>
      </c>
      <c r="B32" s="31" t="s">
        <v>170</v>
      </c>
      <c r="C32" s="12"/>
      <c r="D32" s="41">
        <f>+Matriz!D34</f>
        <v>0</v>
      </c>
      <c r="E32" s="39">
        <f t="shared" ca="1" si="4"/>
        <v>0</v>
      </c>
      <c r="F32" s="369">
        <f ca="1">+Matriz!M34</f>
        <v>0</v>
      </c>
      <c r="G32" s="13"/>
      <c r="H32" s="40">
        <f>+Matriz!E34</f>
        <v>0</v>
      </c>
      <c r="I32" s="39">
        <f t="shared" ca="1" si="5"/>
        <v>0</v>
      </c>
      <c r="J32" s="369">
        <f ca="1">+Matriz!N34</f>
        <v>0</v>
      </c>
    </row>
    <row r="33" spans="1:10" s="14" customFormat="1" ht="14.25" x14ac:dyDescent="0.2">
      <c r="A33" s="12" t="s">
        <v>88</v>
      </c>
      <c r="B33" s="31" t="s">
        <v>89</v>
      </c>
      <c r="C33" s="12"/>
      <c r="D33" s="41">
        <f>+Matriz!D35</f>
        <v>10193875</v>
      </c>
      <c r="E33" s="39">
        <f t="shared" ca="1" si="4"/>
        <v>0</v>
      </c>
      <c r="F33" s="369">
        <f ca="1">+Matriz!M35</f>
        <v>10193875</v>
      </c>
      <c r="G33" s="13"/>
      <c r="H33" s="40">
        <f>+Matriz!E35</f>
        <v>9590734</v>
      </c>
      <c r="I33" s="39">
        <f t="shared" ca="1" si="5"/>
        <v>0</v>
      </c>
      <c r="J33" s="369">
        <f ca="1">+Matriz!N35</f>
        <v>9590734</v>
      </c>
    </row>
    <row r="34" spans="1:10" s="14" customFormat="1" ht="14.25" x14ac:dyDescent="0.2">
      <c r="A34" s="12" t="s">
        <v>90</v>
      </c>
      <c r="B34" s="31" t="s">
        <v>91</v>
      </c>
      <c r="C34" s="12"/>
      <c r="D34" s="41">
        <f>+Matriz!D36</f>
        <v>0</v>
      </c>
      <c r="E34" s="39">
        <f t="shared" ca="1" si="4"/>
        <v>0</v>
      </c>
      <c r="F34" s="369">
        <f ca="1">+Matriz!M36</f>
        <v>0</v>
      </c>
      <c r="G34" s="13"/>
      <c r="H34" s="40">
        <f>+Matriz!E36</f>
        <v>0</v>
      </c>
      <c r="I34" s="39">
        <f t="shared" ca="1" si="5"/>
        <v>0</v>
      </c>
      <c r="J34" s="369">
        <f ca="1">+Matriz!N36</f>
        <v>0</v>
      </c>
    </row>
    <row r="35" spans="1:10" s="14" customFormat="1" ht="14.25" x14ac:dyDescent="0.2">
      <c r="A35" s="12" t="s">
        <v>92</v>
      </c>
      <c r="B35" s="31" t="s">
        <v>93</v>
      </c>
      <c r="C35" s="12"/>
      <c r="D35" s="42">
        <f>+Matriz!D37</f>
        <v>1197295</v>
      </c>
      <c r="E35" s="39">
        <f t="shared" ca="1" si="4"/>
        <v>0</v>
      </c>
      <c r="F35" s="369">
        <f ca="1">+Matriz!M37</f>
        <v>1197295</v>
      </c>
      <c r="G35" s="13"/>
      <c r="H35" s="40">
        <f>+Matriz!E37</f>
        <v>200000</v>
      </c>
      <c r="I35" s="39">
        <f t="shared" ca="1" si="5"/>
        <v>0</v>
      </c>
      <c r="J35" s="370">
        <f ca="1">+Matriz!N37</f>
        <v>200000</v>
      </c>
    </row>
    <row r="36" spans="1:10" s="14" customFormat="1" x14ac:dyDescent="0.2">
      <c r="A36" s="12"/>
      <c r="B36" s="38" t="s">
        <v>172</v>
      </c>
      <c r="C36" s="12"/>
      <c r="D36" s="45">
        <f>SUM(D30:D35)</f>
        <v>12411962</v>
      </c>
      <c r="E36" s="39"/>
      <c r="F36" s="374">
        <f ca="1">SUM(F30:F35)</f>
        <v>12411962</v>
      </c>
      <c r="G36" s="13"/>
      <c r="H36" s="45">
        <f t="shared" ref="H36" si="6">SUM(H30:H35)</f>
        <v>13748734</v>
      </c>
      <c r="I36" s="39"/>
      <c r="J36" s="374">
        <f t="shared" ref="J36" ca="1" si="7">SUM(J30:J35)</f>
        <v>13748734</v>
      </c>
    </row>
    <row r="37" spans="1:10" s="14" customFormat="1" ht="14.25" x14ac:dyDescent="0.2">
      <c r="A37" s="12"/>
      <c r="B37" s="12"/>
      <c r="C37" s="12"/>
      <c r="D37" s="15"/>
      <c r="E37" s="39"/>
      <c r="F37" s="372"/>
      <c r="G37" s="13"/>
      <c r="H37" s="15"/>
      <c r="I37" s="39"/>
      <c r="J37" s="372"/>
    </row>
    <row r="38" spans="1:10" s="14" customFormat="1" ht="14.25" x14ac:dyDescent="0.2">
      <c r="A38" s="12" t="s">
        <v>181</v>
      </c>
      <c r="B38" s="31" t="s">
        <v>171</v>
      </c>
      <c r="C38" s="12"/>
      <c r="D38" s="42">
        <f>+Matriz!D40</f>
        <v>1368778</v>
      </c>
      <c r="E38" s="39">
        <f ca="1">+F38-D38</f>
        <v>0</v>
      </c>
      <c r="F38" s="369">
        <f ca="1">+Matriz!M40</f>
        <v>1368778</v>
      </c>
      <c r="G38" s="13"/>
      <c r="H38" s="42">
        <f>+Matriz!E40</f>
        <v>1961323</v>
      </c>
      <c r="I38" s="39">
        <f ca="1">+J38-H38</f>
        <v>0</v>
      </c>
      <c r="J38" s="370">
        <f ca="1">+Matriz!N40</f>
        <v>1961323</v>
      </c>
    </row>
    <row r="39" spans="1:10" s="14" customFormat="1" x14ac:dyDescent="0.2">
      <c r="A39" s="12"/>
      <c r="B39" s="38" t="s">
        <v>94</v>
      </c>
      <c r="C39" s="12"/>
      <c r="D39" s="45">
        <f>SUM(D36:D38)</f>
        <v>13780740</v>
      </c>
      <c r="E39" s="39"/>
      <c r="F39" s="374">
        <f ca="1">SUM(F36:F38)</f>
        <v>13780740</v>
      </c>
      <c r="G39" s="13"/>
      <c r="H39" s="45">
        <f t="shared" ref="H39" si="8">SUM(H36:H38)</f>
        <v>15710057</v>
      </c>
      <c r="I39" s="39"/>
      <c r="J39" s="374">
        <f t="shared" ref="J39" ca="1" si="9">SUM(J36:J38)</f>
        <v>15710057</v>
      </c>
    </row>
    <row r="40" spans="1:10" s="14" customFormat="1" ht="14.25" x14ac:dyDescent="0.2">
      <c r="A40" s="12"/>
      <c r="B40" s="12"/>
      <c r="C40" s="12"/>
      <c r="D40" s="15"/>
      <c r="E40" s="39"/>
      <c r="F40" s="372"/>
      <c r="G40" s="13"/>
      <c r="H40" s="15"/>
      <c r="I40" s="39"/>
      <c r="J40" s="372"/>
    </row>
    <row r="41" spans="1:10" s="14" customFormat="1" ht="3.75" customHeight="1" x14ac:dyDescent="0.2">
      <c r="A41" s="12"/>
      <c r="B41" s="12"/>
      <c r="C41" s="12"/>
      <c r="D41" s="15"/>
      <c r="E41" s="39"/>
      <c r="F41" s="372"/>
      <c r="G41" s="13"/>
      <c r="H41" s="15"/>
      <c r="I41" s="39"/>
      <c r="J41" s="372"/>
    </row>
    <row r="42" spans="1:10" s="14" customFormat="1" x14ac:dyDescent="0.2">
      <c r="A42" s="12"/>
      <c r="B42" s="38" t="s">
        <v>95</v>
      </c>
      <c r="C42" s="12"/>
      <c r="D42" s="15"/>
      <c r="E42" s="39"/>
      <c r="F42" s="372"/>
      <c r="G42" s="13"/>
      <c r="H42" s="15"/>
      <c r="I42" s="39"/>
      <c r="J42" s="372"/>
    </row>
    <row r="43" spans="1:10" s="14" customFormat="1" ht="14.25" x14ac:dyDescent="0.2">
      <c r="A43" s="12" t="s">
        <v>96</v>
      </c>
      <c r="B43" s="31" t="s">
        <v>97</v>
      </c>
      <c r="C43" s="12"/>
      <c r="D43" s="41">
        <f>+Matriz!D45</f>
        <v>24956792</v>
      </c>
      <c r="E43" s="39">
        <f ca="1">+F43-D43</f>
        <v>0</v>
      </c>
      <c r="F43" s="369">
        <f ca="1">+Matriz!M45</f>
        <v>24956792</v>
      </c>
      <c r="G43" s="13"/>
      <c r="H43" s="40">
        <f>+Matriz!E45</f>
        <v>24956792</v>
      </c>
      <c r="I43" s="39">
        <f ca="1">+J43-H43</f>
        <v>0</v>
      </c>
      <c r="J43" s="369">
        <f ca="1">+Matriz!N45</f>
        <v>24956792</v>
      </c>
    </row>
    <row r="44" spans="1:10" s="14" customFormat="1" x14ac:dyDescent="0.25">
      <c r="A44" s="12" t="s">
        <v>98</v>
      </c>
      <c r="B44" s="441" t="s">
        <v>99</v>
      </c>
      <c r="C44" s="442"/>
      <c r="D44" s="443">
        <f>+Matriz!D46++Matriz!D48</f>
        <v>80657785</v>
      </c>
      <c r="E44" s="444">
        <f ca="1">+F44-D44</f>
        <v>-600000</v>
      </c>
      <c r="F44" s="445">
        <f ca="1">+Matriz!M46+Matriz!M48</f>
        <v>80057785</v>
      </c>
      <c r="G44" s="446"/>
      <c r="H44" s="445">
        <f>+Matriz!E46</f>
        <v>69501027</v>
      </c>
      <c r="I44" s="483">
        <f ca="1">+J44-H44</f>
        <v>-450000</v>
      </c>
      <c r="J44" s="445">
        <f ca="1">+Matriz!N46</f>
        <v>69051027</v>
      </c>
    </row>
    <row r="45" spans="1:10" s="14" customFormat="1" ht="14.25" x14ac:dyDescent="0.2">
      <c r="A45" s="12" t="s">
        <v>145</v>
      </c>
      <c r="B45" s="31" t="s">
        <v>144</v>
      </c>
      <c r="C45" s="12"/>
      <c r="D45" s="41">
        <f>+Matriz!D47</f>
        <v>0</v>
      </c>
      <c r="E45" s="39">
        <f ca="1">+F45-D45</f>
        <v>0</v>
      </c>
      <c r="F45" s="370">
        <f ca="1">+Matriz!M47</f>
        <v>0</v>
      </c>
      <c r="G45" s="13"/>
      <c r="H45" s="40">
        <v>0</v>
      </c>
      <c r="I45" s="39">
        <f ca="1">+J45-H45</f>
        <v>0</v>
      </c>
      <c r="J45" s="369">
        <f ca="1">+Matriz!N47</f>
        <v>0</v>
      </c>
    </row>
    <row r="46" spans="1:10" s="14" customFormat="1" x14ac:dyDescent="0.2">
      <c r="A46" s="12"/>
      <c r="B46" s="38" t="s">
        <v>101</v>
      </c>
      <c r="C46" s="12"/>
      <c r="D46" s="45">
        <f>SUM(D43:D45)</f>
        <v>105614577</v>
      </c>
      <c r="E46" s="15"/>
      <c r="F46" s="374">
        <f ca="1">SUM(F43:F45)</f>
        <v>105014577</v>
      </c>
      <c r="G46" s="13"/>
      <c r="H46" s="45">
        <f>SUM(H43:H45)</f>
        <v>94457819</v>
      </c>
      <c r="I46" s="15"/>
      <c r="J46" s="374">
        <f ca="1">SUM(J43:J45)</f>
        <v>94007819</v>
      </c>
    </row>
    <row r="47" spans="1:10" s="14" customFormat="1" x14ac:dyDescent="0.2">
      <c r="A47" s="12"/>
      <c r="B47" s="38" t="s">
        <v>102</v>
      </c>
      <c r="C47" s="12"/>
      <c r="D47" s="45">
        <f>+D46+D39</f>
        <v>119395317</v>
      </c>
      <c r="E47" s="15"/>
      <c r="F47" s="374">
        <f ca="1">+F46+F39</f>
        <v>118795317</v>
      </c>
      <c r="G47" s="13"/>
      <c r="H47" s="45">
        <f>+H46+H39</f>
        <v>110167876</v>
      </c>
      <c r="I47" s="15"/>
      <c r="J47" s="374">
        <f ca="1">+J46+J39</f>
        <v>109717876</v>
      </c>
    </row>
    <row r="48" spans="1:10" s="14" customFormat="1" x14ac:dyDescent="0.2">
      <c r="A48" s="12"/>
      <c r="B48" s="38"/>
      <c r="C48" s="12"/>
      <c r="D48" s="160"/>
      <c r="E48" s="15"/>
      <c r="F48" s="160"/>
      <c r="G48" s="13"/>
      <c r="H48" s="160"/>
      <c r="I48" s="15"/>
      <c r="J48" s="160"/>
    </row>
    <row r="49" spans="1:10" s="14" customFormat="1" x14ac:dyDescent="0.25">
      <c r="A49" s="156" t="s">
        <v>269</v>
      </c>
      <c r="B49" s="12"/>
      <c r="C49" s="157"/>
      <c r="D49" s="159">
        <f>+D26-D47</f>
        <v>0</v>
      </c>
      <c r="E49" s="158"/>
      <c r="F49" s="159">
        <f ca="1">+F26-F47</f>
        <v>0</v>
      </c>
      <c r="H49" s="159">
        <f>+H26-H47</f>
        <v>0</v>
      </c>
      <c r="I49" s="158"/>
      <c r="J49" s="159">
        <f ca="1">+J26-J47</f>
        <v>0</v>
      </c>
    </row>
    <row r="50" spans="1:10" s="14" customFormat="1" ht="12.75" x14ac:dyDescent="0.2">
      <c r="A50" s="13"/>
      <c r="B50" s="13"/>
      <c r="C50" s="13"/>
      <c r="D50" s="13"/>
      <c r="E50" s="13"/>
      <c r="F50" s="13"/>
      <c r="G50" s="13"/>
      <c r="H50" s="13"/>
      <c r="I50" s="13"/>
      <c r="J50" s="24"/>
    </row>
    <row r="51" spans="1:10" s="137" customFormat="1" ht="18" x14ac:dyDescent="0.25">
      <c r="A51" s="358" t="s">
        <v>274</v>
      </c>
      <c r="B51" s="359"/>
      <c r="C51" s="359"/>
      <c r="D51" s="360"/>
      <c r="E51" s="360"/>
      <c r="F51" s="360"/>
      <c r="G51" s="136"/>
      <c r="H51" s="136"/>
      <c r="I51" s="136"/>
      <c r="J51" s="82"/>
    </row>
    <row r="52" spans="1:10" s="137" customFormat="1" ht="18" x14ac:dyDescent="0.25">
      <c r="A52" s="358" t="s">
        <v>276</v>
      </c>
      <c r="B52" s="359"/>
      <c r="C52" s="359"/>
      <c r="D52" s="360" t="s">
        <v>56</v>
      </c>
      <c r="E52" s="360" t="s">
        <v>136</v>
      </c>
      <c r="F52" s="360" t="s">
        <v>50</v>
      </c>
      <c r="G52" s="136"/>
      <c r="H52" s="136"/>
      <c r="I52" s="136"/>
      <c r="J52" s="82"/>
    </row>
    <row r="53" spans="1:10" s="137" customFormat="1" ht="18" x14ac:dyDescent="0.25">
      <c r="A53" s="359"/>
      <c r="B53" s="359"/>
      <c r="C53" s="359"/>
      <c r="D53" s="361" t="s">
        <v>54</v>
      </c>
      <c r="E53" s="361" t="s">
        <v>54</v>
      </c>
      <c r="F53" s="361" t="s">
        <v>54</v>
      </c>
      <c r="G53" s="136"/>
      <c r="H53" s="136"/>
      <c r="I53" s="136"/>
      <c r="J53" s="82"/>
    </row>
    <row r="54" spans="1:10" s="14" customFormat="1" x14ac:dyDescent="0.2">
      <c r="A54" s="12"/>
      <c r="B54" s="38"/>
      <c r="C54" s="38"/>
      <c r="D54" s="50"/>
      <c r="E54" s="15"/>
      <c r="F54" s="50"/>
      <c r="G54" s="13"/>
      <c r="H54" s="13"/>
      <c r="I54" s="13"/>
      <c r="J54" s="24"/>
    </row>
    <row r="55" spans="1:10" s="14" customFormat="1" ht="14.25" x14ac:dyDescent="0.2">
      <c r="A55" s="12" t="s">
        <v>103</v>
      </c>
      <c r="B55" s="31" t="s">
        <v>132</v>
      </c>
      <c r="C55" s="31"/>
      <c r="D55" s="39">
        <f>+Matriz!D60</f>
        <v>77738972</v>
      </c>
      <c r="E55" s="39">
        <f ca="1">+F55-D55</f>
        <v>0</v>
      </c>
      <c r="F55" s="39">
        <f ca="1">+Matriz!M60</f>
        <v>77738972</v>
      </c>
      <c r="G55" s="13"/>
      <c r="H55" s="13"/>
      <c r="I55" s="13"/>
      <c r="J55" s="24"/>
    </row>
    <row r="56" spans="1:10" s="14" customFormat="1" ht="14.25" x14ac:dyDescent="0.2">
      <c r="A56" s="12" t="s">
        <v>165</v>
      </c>
      <c r="B56" s="31" t="s">
        <v>200</v>
      </c>
      <c r="C56" s="31"/>
      <c r="D56" s="39">
        <f>+Matriz!D61</f>
        <v>0</v>
      </c>
      <c r="E56" s="39">
        <f ca="1">+F56-D56</f>
        <v>0</v>
      </c>
      <c r="F56" s="39">
        <f ca="1">+Matriz!M61</f>
        <v>0</v>
      </c>
      <c r="G56" s="13"/>
      <c r="H56" s="13"/>
      <c r="I56" s="13"/>
      <c r="J56" s="24"/>
    </row>
    <row r="57" spans="1:10" s="14" customFormat="1" x14ac:dyDescent="0.25">
      <c r="A57" s="484" t="s">
        <v>104</v>
      </c>
      <c r="B57" s="485" t="s">
        <v>167</v>
      </c>
      <c r="C57" s="485"/>
      <c r="D57" s="483">
        <f>+Matriz!D62</f>
        <v>-32655063</v>
      </c>
      <c r="E57" s="483">
        <f ca="1">+F57-D57</f>
        <v>-150000</v>
      </c>
      <c r="F57" s="486">
        <f ca="1">+Matriz!M62</f>
        <v>-32805063</v>
      </c>
      <c r="G57" s="13"/>
      <c r="H57" s="13"/>
      <c r="I57" s="13"/>
      <c r="J57" s="24"/>
    </row>
    <row r="58" spans="1:10" s="14" customFormat="1" x14ac:dyDescent="0.25">
      <c r="A58" s="12"/>
      <c r="B58" s="38" t="s">
        <v>105</v>
      </c>
      <c r="C58" s="38"/>
      <c r="D58" s="52">
        <f>SUM(D55:D57)</f>
        <v>45083909</v>
      </c>
      <c r="E58" s="39"/>
      <c r="F58" s="52">
        <f ca="1">SUM(F55:F57)</f>
        <v>44933909</v>
      </c>
      <c r="G58" s="13"/>
      <c r="H58" s="13"/>
      <c r="I58" s="13"/>
      <c r="J58" s="24"/>
    </row>
    <row r="59" spans="1:10" s="14" customFormat="1" ht="14.25" x14ac:dyDescent="0.2">
      <c r="A59" s="12"/>
      <c r="B59" s="12"/>
      <c r="C59" s="12"/>
      <c r="D59" s="39"/>
      <c r="E59" s="39"/>
      <c r="F59" s="39"/>
      <c r="G59" s="13"/>
      <c r="H59" s="13"/>
      <c r="I59" s="13"/>
      <c r="J59" s="24"/>
    </row>
    <row r="60" spans="1:10" s="14" customFormat="1" ht="14.25" x14ac:dyDescent="0.2">
      <c r="A60" s="12" t="s">
        <v>106</v>
      </c>
      <c r="B60" s="31" t="s">
        <v>107</v>
      </c>
      <c r="C60" s="31"/>
      <c r="D60" s="39">
        <f>+Matriz!D65</f>
        <v>-10421188</v>
      </c>
      <c r="E60" s="39">
        <f ca="1">+F60-D60</f>
        <v>0</v>
      </c>
      <c r="F60" s="39">
        <f ca="1">+Matriz!M65</f>
        <v>-10421188</v>
      </c>
      <c r="G60" s="13"/>
      <c r="H60" s="13"/>
      <c r="I60" s="13"/>
      <c r="J60" s="24"/>
    </row>
    <row r="61" spans="1:10" s="14" customFormat="1" ht="14.25" x14ac:dyDescent="0.2">
      <c r="A61" s="12" t="s">
        <v>108</v>
      </c>
      <c r="B61" s="31" t="s">
        <v>109</v>
      </c>
      <c r="C61" s="31"/>
      <c r="D61" s="39">
        <f>+Matriz!D66</f>
        <v>-9167285</v>
      </c>
      <c r="E61" s="39">
        <f ca="1">+F61-D61</f>
        <v>0</v>
      </c>
      <c r="F61" s="39">
        <f ca="1">+Matriz!M66</f>
        <v>-9167285</v>
      </c>
      <c r="G61" s="13"/>
      <c r="H61" s="13"/>
      <c r="I61" s="13"/>
      <c r="J61" s="24"/>
    </row>
    <row r="62" spans="1:10" s="14" customFormat="1" ht="14.25" x14ac:dyDescent="0.2">
      <c r="A62" s="12" t="s">
        <v>110</v>
      </c>
      <c r="B62" s="31" t="s">
        <v>111</v>
      </c>
      <c r="C62" s="31"/>
      <c r="D62" s="51">
        <f>+Matriz!D67</f>
        <v>116418</v>
      </c>
      <c r="E62" s="39">
        <f ca="1">+F62-D62</f>
        <v>0</v>
      </c>
      <c r="F62" s="51">
        <f ca="1">+Matriz!M67</f>
        <v>116418</v>
      </c>
      <c r="G62" s="13"/>
      <c r="H62" s="13"/>
      <c r="I62" s="13"/>
      <c r="J62" s="24"/>
    </row>
    <row r="63" spans="1:10" s="14" customFormat="1" x14ac:dyDescent="0.25">
      <c r="A63" s="12"/>
      <c r="B63" s="38" t="s">
        <v>112</v>
      </c>
      <c r="C63" s="38"/>
      <c r="D63" s="52">
        <f>SUM(D58:D62)</f>
        <v>25611854</v>
      </c>
      <c r="E63" s="39"/>
      <c r="F63" s="52">
        <f ca="1">SUM(F58:F62)</f>
        <v>25461854</v>
      </c>
      <c r="G63" s="13"/>
      <c r="H63" s="13"/>
      <c r="I63" s="13"/>
      <c r="J63" s="24"/>
    </row>
    <row r="64" spans="1:10" s="14" customFormat="1" ht="14.25" x14ac:dyDescent="0.2">
      <c r="A64" s="12"/>
      <c r="B64" s="31"/>
      <c r="C64" s="31"/>
      <c r="D64" s="39"/>
      <c r="E64" s="39"/>
      <c r="F64" s="39"/>
      <c r="G64" s="13"/>
      <c r="H64" s="13"/>
      <c r="I64" s="13"/>
      <c r="J64" s="24"/>
    </row>
    <row r="65" spans="1:10" s="14" customFormat="1" ht="14.25" x14ac:dyDescent="0.2">
      <c r="A65" s="12" t="s">
        <v>113</v>
      </c>
      <c r="B65" s="31" t="s">
        <v>114</v>
      </c>
      <c r="C65" s="31"/>
      <c r="D65" s="39">
        <f>+Matriz!D71</f>
        <v>1221201</v>
      </c>
      <c r="E65" s="39">
        <f ca="1">+F65-D65</f>
        <v>0</v>
      </c>
      <c r="F65" s="39">
        <f ca="1">+Matriz!M71</f>
        <v>1221201</v>
      </c>
      <c r="G65" s="13"/>
      <c r="H65" s="13"/>
      <c r="I65" s="13"/>
      <c r="J65" s="24"/>
    </row>
    <row r="66" spans="1:10" s="14" customFormat="1" ht="14.25" x14ac:dyDescent="0.2">
      <c r="A66" s="12" t="s">
        <v>115</v>
      </c>
      <c r="B66" s="31" t="s">
        <v>164</v>
      </c>
      <c r="C66" s="31"/>
      <c r="D66" s="39">
        <f>+Matriz!D72</f>
        <v>-3112318</v>
      </c>
      <c r="E66" s="39">
        <f ca="1">+F66-D66</f>
        <v>0</v>
      </c>
      <c r="F66" s="39">
        <f ca="1">+Matriz!M72</f>
        <v>-3112318</v>
      </c>
      <c r="G66" s="13"/>
      <c r="H66" s="13"/>
      <c r="I66" s="13"/>
      <c r="J66" s="24"/>
    </row>
    <row r="67" spans="1:10" s="14" customFormat="1" ht="14.25" x14ac:dyDescent="0.2">
      <c r="A67" s="12" t="s">
        <v>210</v>
      </c>
      <c r="B67" s="31" t="s">
        <v>166</v>
      </c>
      <c r="C67" s="31"/>
      <c r="D67" s="51"/>
      <c r="E67" s="39">
        <f ca="1">+F67-D67</f>
        <v>0</v>
      </c>
      <c r="F67" s="51">
        <f ca="1">+Matriz!M73</f>
        <v>0</v>
      </c>
      <c r="G67" s="13"/>
      <c r="H67" s="13"/>
      <c r="I67" s="13"/>
      <c r="J67" s="24"/>
    </row>
    <row r="68" spans="1:10" s="14" customFormat="1" x14ac:dyDescent="0.25">
      <c r="A68" s="12" t="s">
        <v>116</v>
      </c>
      <c r="B68" s="38" t="s">
        <v>117</v>
      </c>
      <c r="C68" s="38"/>
      <c r="D68" s="52">
        <f>SUM(D63:D67)</f>
        <v>23720737</v>
      </c>
      <c r="E68" s="39"/>
      <c r="F68" s="52">
        <f ca="1">SUM(F63:F67)</f>
        <v>23570737</v>
      </c>
      <c r="G68" s="13"/>
      <c r="H68" s="13"/>
      <c r="I68" s="13"/>
      <c r="J68" s="24"/>
    </row>
    <row r="69" spans="1:10" s="14" customFormat="1" ht="14.25" x14ac:dyDescent="0.2">
      <c r="A69" s="12" t="s">
        <v>118</v>
      </c>
      <c r="B69" s="31" t="s">
        <v>158</v>
      </c>
      <c r="C69" s="31"/>
      <c r="D69" s="39">
        <f>+Matriz!D75</f>
        <v>-3400000</v>
      </c>
      <c r="E69" s="39">
        <f ca="1">+F69-D69</f>
        <v>0</v>
      </c>
      <c r="F69" s="39">
        <f ca="1">+Matriz!M75</f>
        <v>-3400000</v>
      </c>
      <c r="G69" s="13"/>
      <c r="H69" s="13"/>
      <c r="I69" s="13"/>
      <c r="J69" s="24"/>
    </row>
    <row r="70" spans="1:10" s="14" customFormat="1" ht="14.25" x14ac:dyDescent="0.2">
      <c r="A70" s="12" t="s">
        <v>157</v>
      </c>
      <c r="B70" s="31" t="s">
        <v>119</v>
      </c>
      <c r="C70" s="31"/>
      <c r="D70" s="39">
        <f>+Matriz!D76</f>
        <v>-9495889</v>
      </c>
      <c r="E70" s="39">
        <f ca="1">+F70-D70</f>
        <v>0</v>
      </c>
      <c r="F70" s="51">
        <f ca="1">+Matriz!M76</f>
        <v>-9495889</v>
      </c>
      <c r="G70" s="13"/>
      <c r="H70" s="13"/>
      <c r="I70" s="13"/>
      <c r="J70" s="24"/>
    </row>
    <row r="71" spans="1:10" s="14" customFormat="1" ht="15.75" thickBot="1" x14ac:dyDescent="0.3">
      <c r="A71" s="12"/>
      <c r="B71" s="38" t="s">
        <v>120</v>
      </c>
      <c r="C71" s="38"/>
      <c r="D71" s="53">
        <f>SUM(D68:D70)</f>
        <v>10824848</v>
      </c>
      <c r="E71" s="39"/>
      <c r="F71" s="53">
        <f ca="1">SUM(F68:F70)</f>
        <v>10674848</v>
      </c>
      <c r="G71" s="13"/>
      <c r="H71" s="13"/>
      <c r="I71" s="13"/>
      <c r="J71" s="24"/>
    </row>
    <row r="72" spans="1:10" s="14" customFormat="1" ht="14.25" x14ac:dyDescent="0.2">
      <c r="A72" s="12"/>
      <c r="B72" s="12"/>
      <c r="C72" s="12"/>
      <c r="D72" s="12"/>
      <c r="E72" s="12"/>
      <c r="F72" s="12"/>
      <c r="G72" s="13"/>
      <c r="H72" s="13"/>
      <c r="I72" s="13"/>
      <c r="J72" s="24"/>
    </row>
    <row r="73" spans="1:10" s="14" customFormat="1" x14ac:dyDescent="0.25">
      <c r="A73" s="156" t="s">
        <v>269</v>
      </c>
      <c r="B73" s="157"/>
      <c r="C73" s="157"/>
      <c r="D73" s="159">
        <f>+D71-Matriz!D77</f>
        <v>0</v>
      </c>
      <c r="E73" s="377"/>
      <c r="F73" s="159">
        <f ca="1">+F71-Matriz!M77</f>
        <v>0</v>
      </c>
      <c r="G73" s="13"/>
      <c r="H73" s="13"/>
      <c r="I73" s="13"/>
      <c r="J73" s="24"/>
    </row>
    <row r="74" spans="1:10" s="14" customFormat="1" ht="12.75" x14ac:dyDescent="0.2">
      <c r="A74" s="13"/>
      <c r="B74" s="13"/>
      <c r="C74" s="13"/>
      <c r="D74" s="13"/>
      <c r="E74" s="13"/>
      <c r="F74" s="13"/>
      <c r="G74" s="13"/>
      <c r="H74" s="13"/>
      <c r="I74" s="13"/>
      <c r="J74" s="24"/>
    </row>
    <row r="75" spans="1:10" s="14" customFormat="1" ht="12.75" x14ac:dyDescent="0.2"/>
    <row r="76" spans="1:10" s="14" customFormat="1" ht="12.75" x14ac:dyDescent="0.2"/>
    <row r="77" spans="1:10" s="14" customFormat="1" ht="12.75" x14ac:dyDescent="0.2"/>
    <row r="78" spans="1:10" s="14" customFormat="1" ht="12.75" x14ac:dyDescent="0.2"/>
    <row r="79" spans="1:10" s="14" customFormat="1" ht="12.75" x14ac:dyDescent="0.2"/>
    <row r="80" spans="1:10" s="14" customFormat="1" ht="12.75" x14ac:dyDescent="0.2"/>
    <row r="81" s="14" customFormat="1" ht="12.75" x14ac:dyDescent="0.2"/>
    <row r="82" s="14" customFormat="1" ht="12.75" x14ac:dyDescent="0.2"/>
    <row r="83" s="14" customFormat="1" ht="12.75" x14ac:dyDescent="0.2"/>
    <row r="84" s="14" customFormat="1" ht="12.75" x14ac:dyDescent="0.2"/>
    <row r="85" s="14" customFormat="1" ht="12.75" x14ac:dyDescent="0.2"/>
    <row r="86" s="14" customFormat="1" ht="12.75" x14ac:dyDescent="0.2"/>
    <row r="87" s="14" customFormat="1" ht="12.75" x14ac:dyDescent="0.2"/>
    <row r="88" s="14" customFormat="1" ht="12.75" x14ac:dyDescent="0.2"/>
    <row r="89" s="14" customFormat="1" ht="12.75" x14ac:dyDescent="0.2"/>
    <row r="90" s="14" customFormat="1" ht="12.75" x14ac:dyDescent="0.2"/>
    <row r="91" s="14" customFormat="1" ht="12.75" x14ac:dyDescent="0.2"/>
    <row r="92" s="14" customFormat="1" ht="12.75" x14ac:dyDescent="0.2"/>
  </sheetData>
  <mergeCells count="2">
    <mergeCell ref="D1:F1"/>
    <mergeCell ref="H1:J1"/>
  </mergeCells>
  <printOptions horizontalCentered="1"/>
  <pageMargins left="0.7" right="0.7" top="0.75" bottom="0.75" header="0.3" footer="0.3"/>
  <pageSetup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50"/>
  <sheetViews>
    <sheetView zoomScaleNormal="100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AE21" sqref="AE21:AH21"/>
    </sheetView>
  </sheetViews>
  <sheetFormatPr baseColWidth="10" defaultColWidth="9.140625" defaultRowHeight="15" x14ac:dyDescent="0.25"/>
  <cols>
    <col min="1" max="1" width="4.28515625" style="14" customWidth="1"/>
    <col min="2" max="2" width="29" style="14" customWidth="1"/>
    <col min="3" max="3" width="14.85546875" style="14" hidden="1" customWidth="1"/>
    <col min="4" max="4" width="14.42578125" style="14" hidden="1" customWidth="1"/>
    <col min="5" max="5" width="14.85546875" style="14" hidden="1" customWidth="1"/>
    <col min="6" max="6" width="3" style="14" hidden="1" customWidth="1"/>
    <col min="7" max="8" width="14.7109375" style="14" hidden="1" customWidth="1"/>
    <col min="9" max="10" width="16.7109375" style="14" hidden="1" customWidth="1"/>
    <col min="11" max="12" width="14.7109375" style="14" hidden="1" customWidth="1"/>
    <col min="13" max="13" width="2.7109375" style="14" hidden="1" customWidth="1"/>
    <col min="14" max="16" width="14.85546875" style="14" bestFit="1" customWidth="1"/>
    <col min="17" max="17" width="15.28515625" style="14" bestFit="1" customWidth="1"/>
    <col min="18" max="18" width="1.140625" style="14" customWidth="1"/>
    <col min="19" max="19" width="0.5703125" style="14" customWidth="1"/>
    <col min="20" max="20" width="14.85546875" style="14" hidden="1" customWidth="1"/>
    <col min="21" max="21" width="14.42578125" style="14" hidden="1" customWidth="1"/>
    <col min="22" max="22" width="14.85546875" style="14" hidden="1" customWidth="1"/>
    <col min="23" max="23" width="3" style="14" hidden="1" customWidth="1"/>
    <col min="24" max="25" width="14.7109375" style="14" hidden="1" customWidth="1"/>
    <col min="26" max="27" width="16.7109375" style="14" hidden="1" customWidth="1"/>
    <col min="28" max="29" width="14.7109375" style="14" hidden="1" customWidth="1"/>
    <col min="30" max="30" width="2.7109375" style="14" hidden="1" customWidth="1"/>
    <col min="31" max="33" width="14.85546875" style="14" bestFit="1" customWidth="1"/>
    <col min="34" max="34" width="15.28515625" style="14" bestFit="1" customWidth="1"/>
    <col min="35" max="36" width="14.7109375" customWidth="1"/>
    <col min="37" max="37" width="15.140625" bestFit="1" customWidth="1"/>
    <col min="38" max="72" width="14.7109375" customWidth="1"/>
  </cols>
  <sheetData>
    <row r="1" spans="1:38" s="33" customFormat="1" ht="15.75" x14ac:dyDescent="0.2">
      <c r="B1" s="131" t="s">
        <v>253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131" t="s">
        <v>256</v>
      </c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</row>
    <row r="2" spans="1:38" s="33" customFormat="1" ht="15.75" x14ac:dyDescent="0.2">
      <c r="A2" s="378"/>
      <c r="B2" s="379"/>
      <c r="C2" s="380"/>
      <c r="D2" s="380"/>
      <c r="E2" s="380"/>
      <c r="F2" s="379"/>
      <c r="G2" s="380"/>
      <c r="H2" s="380"/>
      <c r="I2" s="380"/>
      <c r="J2" s="380"/>
      <c r="K2" s="380"/>
      <c r="L2" s="380"/>
      <c r="M2" s="379"/>
      <c r="N2" s="380" t="s">
        <v>242</v>
      </c>
      <c r="O2" s="380" t="s">
        <v>244</v>
      </c>
      <c r="P2" s="380" t="s">
        <v>246</v>
      </c>
      <c r="Q2" s="379"/>
      <c r="R2" s="91"/>
      <c r="S2" s="379"/>
      <c r="T2" s="380"/>
      <c r="U2" s="380"/>
      <c r="V2" s="380"/>
      <c r="W2" s="379"/>
      <c r="X2" s="380"/>
      <c r="Y2" s="380"/>
      <c r="Z2" s="380"/>
      <c r="AA2" s="380"/>
      <c r="AB2" s="380"/>
      <c r="AC2" s="380"/>
      <c r="AD2" s="379"/>
      <c r="AE2" s="380" t="s">
        <v>242</v>
      </c>
      <c r="AF2" s="380" t="s">
        <v>244</v>
      </c>
      <c r="AG2" s="380" t="s">
        <v>246</v>
      </c>
      <c r="AH2" s="379"/>
    </row>
    <row r="3" spans="1:38" s="33" customFormat="1" ht="15.75" x14ac:dyDescent="0.2">
      <c r="B3" s="379"/>
      <c r="C3" s="381"/>
      <c r="D3" s="381"/>
      <c r="E3" s="381"/>
      <c r="F3" s="379"/>
      <c r="G3" s="381"/>
      <c r="H3" s="381"/>
      <c r="I3" s="381"/>
      <c r="J3" s="381"/>
      <c r="K3" s="381"/>
      <c r="L3" s="381"/>
      <c r="M3" s="379"/>
      <c r="N3" s="380" t="s">
        <v>243</v>
      </c>
      <c r="O3" s="380" t="s">
        <v>245</v>
      </c>
      <c r="P3" s="380" t="s">
        <v>247</v>
      </c>
      <c r="Q3" s="380" t="s">
        <v>189</v>
      </c>
      <c r="R3" s="91"/>
      <c r="S3" s="379"/>
      <c r="T3" s="381"/>
      <c r="U3" s="381"/>
      <c r="V3" s="381"/>
      <c r="W3" s="379"/>
      <c r="X3" s="381"/>
      <c r="Y3" s="381"/>
      <c r="Z3" s="381"/>
      <c r="AA3" s="381"/>
      <c r="AB3" s="381"/>
      <c r="AC3" s="381"/>
      <c r="AD3" s="379"/>
      <c r="AE3" s="380" t="s">
        <v>243</v>
      </c>
      <c r="AF3" s="380" t="s">
        <v>245</v>
      </c>
      <c r="AG3" s="380" t="s">
        <v>247</v>
      </c>
      <c r="AH3" s="380" t="s">
        <v>189</v>
      </c>
    </row>
    <row r="4" spans="1:38" s="33" customFormat="1" ht="16.5" thickBot="1" x14ac:dyDescent="0.25">
      <c r="B4" s="87"/>
      <c r="C4" s="100"/>
      <c r="D4" s="100"/>
      <c r="E4" s="100"/>
      <c r="F4" s="87"/>
      <c r="G4" s="100"/>
      <c r="H4" s="100"/>
      <c r="I4" s="100"/>
      <c r="J4" s="100"/>
      <c r="K4" s="100"/>
      <c r="L4" s="100"/>
      <c r="M4" s="87"/>
      <c r="N4" s="91"/>
      <c r="O4" s="91"/>
      <c r="P4" s="91"/>
      <c r="Q4" s="91"/>
      <c r="R4" s="91"/>
      <c r="S4" s="87"/>
      <c r="T4" s="100"/>
      <c r="U4" s="100"/>
      <c r="V4" s="100"/>
      <c r="W4" s="87"/>
      <c r="X4" s="100"/>
      <c r="Y4" s="100"/>
      <c r="Z4" s="100"/>
      <c r="AA4" s="100"/>
      <c r="AB4" s="100"/>
      <c r="AC4" s="100"/>
      <c r="AD4" s="87"/>
      <c r="AE4" s="91"/>
      <c r="AF4" s="91"/>
      <c r="AG4" s="91"/>
      <c r="AH4" s="91"/>
    </row>
    <row r="5" spans="1:38" s="33" customFormat="1" ht="16.5" thickBot="1" x14ac:dyDescent="0.3">
      <c r="B5" s="382" t="s">
        <v>429</v>
      </c>
      <c r="C5" s="383"/>
      <c r="D5" s="383"/>
      <c r="E5" s="383"/>
      <c r="F5" s="384"/>
      <c r="G5" s="383"/>
      <c r="H5" s="383"/>
      <c r="I5" s="383"/>
      <c r="J5" s="383"/>
      <c r="K5" s="383"/>
      <c r="L5" s="383"/>
      <c r="M5" s="384"/>
      <c r="N5" s="385">
        <f>+Matriz!E45</f>
        <v>24956792</v>
      </c>
      <c r="O5" s="385">
        <f>+Matriz!E46</f>
        <v>69501027</v>
      </c>
      <c r="P5" s="385">
        <v>0</v>
      </c>
      <c r="Q5" s="496">
        <f>SUM(N5:P5)</f>
        <v>94457819</v>
      </c>
      <c r="R5" s="91"/>
      <c r="S5" s="382" t="s">
        <v>248</v>
      </c>
      <c r="T5" s="383"/>
      <c r="U5" s="383"/>
      <c r="V5" s="383"/>
      <c r="W5" s="384"/>
      <c r="X5" s="383"/>
      <c r="Y5" s="383"/>
      <c r="Z5" s="383"/>
      <c r="AA5" s="383"/>
      <c r="AB5" s="383"/>
      <c r="AC5" s="383"/>
      <c r="AD5" s="384"/>
      <c r="AE5" s="385">
        <f>+N5+O30+O31</f>
        <v>24956792</v>
      </c>
      <c r="AF5" s="385">
        <f>+O5+O35</f>
        <v>69051027</v>
      </c>
      <c r="AG5" s="385">
        <f>+P5+O33+O34+O32</f>
        <v>0</v>
      </c>
      <c r="AH5" s="400">
        <f>SUM(AE5:AG5)</f>
        <v>94007819</v>
      </c>
      <c r="AI5" s="502">
        <f>+AH5-Q5</f>
        <v>-450000</v>
      </c>
      <c r="AK5" s="393">
        <f ca="1">+Matriz!N49</f>
        <v>94007819</v>
      </c>
      <c r="AL5" s="393">
        <f ca="1">+AK5-AH5</f>
        <v>0</v>
      </c>
    </row>
    <row r="6" spans="1:38" s="33" customFormat="1" ht="15.75" x14ac:dyDescent="0.2">
      <c r="B6" s="84"/>
      <c r="C6" s="91"/>
      <c r="D6" s="91"/>
      <c r="E6" s="91"/>
      <c r="F6" s="87"/>
      <c r="G6" s="91"/>
      <c r="H6" s="91"/>
      <c r="I6" s="91"/>
      <c r="J6" s="91"/>
      <c r="K6" s="91"/>
      <c r="L6" s="91"/>
      <c r="M6" s="87"/>
      <c r="N6" s="387"/>
      <c r="O6" s="387"/>
      <c r="P6" s="387"/>
      <c r="Q6" s="497"/>
      <c r="R6" s="91"/>
      <c r="S6" s="84"/>
      <c r="T6" s="91"/>
      <c r="U6" s="91"/>
      <c r="V6" s="91"/>
      <c r="W6" s="87"/>
      <c r="X6" s="91"/>
      <c r="Y6" s="91"/>
      <c r="Z6" s="91"/>
      <c r="AA6" s="91"/>
      <c r="AB6" s="91"/>
      <c r="AC6" s="91"/>
      <c r="AD6" s="87"/>
      <c r="AE6" s="387"/>
      <c r="AF6" s="387"/>
      <c r="AG6" s="387"/>
      <c r="AH6" s="387"/>
      <c r="AK6" s="393"/>
    </row>
    <row r="7" spans="1:38" s="33" customFormat="1" ht="15.75" x14ac:dyDescent="0.2">
      <c r="B7" s="111" t="s">
        <v>251</v>
      </c>
      <c r="C7" s="91"/>
      <c r="D7" s="91"/>
      <c r="E7" s="91"/>
      <c r="F7" s="87"/>
      <c r="G7" s="91"/>
      <c r="H7" s="91"/>
      <c r="I7" s="91"/>
      <c r="J7" s="91"/>
      <c r="K7" s="91"/>
      <c r="L7" s="91"/>
      <c r="M7" s="87"/>
      <c r="N7" s="387">
        <v>592545</v>
      </c>
      <c r="O7" s="387">
        <v>0</v>
      </c>
      <c r="P7" s="387">
        <v>0</v>
      </c>
      <c r="Q7" s="497">
        <f>SUM(N7:P7)</f>
        <v>592545</v>
      </c>
      <c r="R7" s="91"/>
      <c r="S7" s="111" t="s">
        <v>251</v>
      </c>
      <c r="T7" s="91"/>
      <c r="U7" s="91"/>
      <c r="V7" s="91"/>
      <c r="W7" s="87"/>
      <c r="X7" s="91"/>
      <c r="Y7" s="91"/>
      <c r="Z7" s="91"/>
      <c r="AA7" s="91"/>
      <c r="AB7" s="91"/>
      <c r="AC7" s="91"/>
      <c r="AD7" s="87"/>
      <c r="AE7" s="387">
        <f>+N7</f>
        <v>592545</v>
      </c>
      <c r="AF7" s="387">
        <v>0</v>
      </c>
      <c r="AG7" s="387">
        <v>0</v>
      </c>
      <c r="AH7" s="387">
        <f>SUM(AE7:AG7)</f>
        <v>592545</v>
      </c>
      <c r="AK7" s="393"/>
    </row>
    <row r="8" spans="1:38" s="33" customFormat="1" ht="15.75" x14ac:dyDescent="0.2">
      <c r="B8" s="84"/>
      <c r="C8" s="91"/>
      <c r="D8" s="91"/>
      <c r="E8" s="91"/>
      <c r="F8" s="87"/>
      <c r="G8" s="91"/>
      <c r="H8" s="91"/>
      <c r="I8" s="91"/>
      <c r="J8" s="91"/>
      <c r="K8" s="91"/>
      <c r="L8" s="91"/>
      <c r="M8" s="87"/>
      <c r="N8" s="387"/>
      <c r="O8" s="387"/>
      <c r="P8" s="387"/>
      <c r="Q8" s="497"/>
      <c r="R8" s="91"/>
      <c r="S8" s="84"/>
      <c r="T8" s="91"/>
      <c r="U8" s="91"/>
      <c r="V8" s="91"/>
      <c r="W8" s="87"/>
      <c r="X8" s="91"/>
      <c r="Y8" s="91"/>
      <c r="Z8" s="91"/>
      <c r="AA8" s="91"/>
      <c r="AB8" s="91"/>
      <c r="AC8" s="91"/>
      <c r="AD8" s="87"/>
      <c r="AE8" s="387"/>
      <c r="AF8" s="387"/>
      <c r="AG8" s="387"/>
      <c r="AH8" s="387"/>
      <c r="AK8" s="393"/>
    </row>
    <row r="9" spans="1:38" s="33" customFormat="1" ht="15.75" x14ac:dyDescent="0.2">
      <c r="B9" s="111" t="s">
        <v>252</v>
      </c>
      <c r="C9" s="91"/>
      <c r="D9" s="91"/>
      <c r="E9" s="91"/>
      <c r="F9" s="87"/>
      <c r="G9" s="91"/>
      <c r="H9" s="91"/>
      <c r="I9" s="91"/>
      <c r="J9" s="91"/>
      <c r="K9" s="91"/>
      <c r="L9" s="91"/>
      <c r="M9" s="87"/>
      <c r="N9" s="387">
        <v>0</v>
      </c>
      <c r="O9" s="89">
        <v>-260635</v>
      </c>
      <c r="P9" s="387">
        <v>0</v>
      </c>
      <c r="Q9" s="498">
        <f>SUM(N9:P9)</f>
        <v>-260635</v>
      </c>
      <c r="R9" s="91"/>
      <c r="S9" s="111" t="s">
        <v>252</v>
      </c>
      <c r="T9" s="91"/>
      <c r="U9" s="91"/>
      <c r="V9" s="91"/>
      <c r="W9" s="87"/>
      <c r="X9" s="91"/>
      <c r="Y9" s="91"/>
      <c r="Z9" s="91"/>
      <c r="AA9" s="91"/>
      <c r="AB9" s="91"/>
      <c r="AC9" s="91"/>
      <c r="AD9" s="87"/>
      <c r="AE9" s="387">
        <v>0</v>
      </c>
      <c r="AF9" s="89">
        <f>+O9</f>
        <v>-260635</v>
      </c>
      <c r="AG9" s="387">
        <v>0</v>
      </c>
      <c r="AH9" s="89">
        <f>SUM(AE9:AG9)</f>
        <v>-260635</v>
      </c>
      <c r="AK9" s="393"/>
    </row>
    <row r="10" spans="1:38" s="33" customFormat="1" ht="15.75" x14ac:dyDescent="0.2">
      <c r="B10" s="84"/>
      <c r="C10" s="91"/>
      <c r="D10" s="91"/>
      <c r="E10" s="91"/>
      <c r="F10" s="87"/>
      <c r="G10" s="91"/>
      <c r="H10" s="91"/>
      <c r="I10" s="91"/>
      <c r="J10" s="91"/>
      <c r="K10" s="91"/>
      <c r="L10" s="91"/>
      <c r="M10" s="87"/>
      <c r="N10" s="387"/>
      <c r="O10" s="387"/>
      <c r="P10" s="387"/>
      <c r="Q10" s="497"/>
      <c r="R10" s="91"/>
      <c r="S10" s="84"/>
      <c r="T10" s="91"/>
      <c r="U10" s="91"/>
      <c r="V10" s="91"/>
      <c r="W10" s="87"/>
      <c r="X10" s="91"/>
      <c r="Y10" s="91"/>
      <c r="Z10" s="91"/>
      <c r="AA10" s="91"/>
      <c r="AB10" s="91"/>
      <c r="AC10" s="91"/>
      <c r="AD10" s="87"/>
      <c r="AE10" s="387"/>
      <c r="AF10" s="387"/>
      <c r="AG10" s="387"/>
      <c r="AH10" s="387"/>
      <c r="AK10" s="393"/>
    </row>
    <row r="11" spans="1:38" s="33" customFormat="1" ht="15.75" x14ac:dyDescent="0.25">
      <c r="B11" s="33" t="s">
        <v>432</v>
      </c>
      <c r="G11" s="388"/>
      <c r="H11" s="388"/>
      <c r="I11" s="388"/>
      <c r="J11" s="388"/>
      <c r="K11" s="388"/>
      <c r="L11" s="388"/>
      <c r="M11" s="388"/>
      <c r="N11" s="387">
        <v>0</v>
      </c>
      <c r="O11" s="387">
        <f>+Matriz!D77</f>
        <v>10824848</v>
      </c>
      <c r="P11" s="387">
        <v>0</v>
      </c>
      <c r="Q11" s="497">
        <f>SUM(N11:P11)</f>
        <v>10824848</v>
      </c>
      <c r="R11" s="91"/>
      <c r="S11" s="33" t="s">
        <v>249</v>
      </c>
      <c r="X11" s="388"/>
      <c r="Y11" s="388"/>
      <c r="Z11" s="388"/>
      <c r="AA11" s="388"/>
      <c r="AB11" s="388"/>
      <c r="AC11" s="388"/>
      <c r="AD11" s="388"/>
      <c r="AE11" s="387">
        <v>0</v>
      </c>
      <c r="AF11" s="387">
        <f>+O11+O37</f>
        <v>10674848</v>
      </c>
      <c r="AG11" s="387">
        <v>0</v>
      </c>
      <c r="AH11" s="387">
        <f>SUM(AE11:AG11)</f>
        <v>10674848</v>
      </c>
      <c r="AI11" s="502">
        <f>+AH11-Q11</f>
        <v>-150000</v>
      </c>
      <c r="AK11" s="393"/>
    </row>
    <row r="12" spans="1:38" s="33" customFormat="1" ht="16.5" thickBot="1" x14ac:dyDescent="0.25">
      <c r="B12" s="111"/>
      <c r="G12" s="388"/>
      <c r="H12" s="388"/>
      <c r="I12" s="388"/>
      <c r="J12" s="388"/>
      <c r="K12" s="388"/>
      <c r="L12" s="388"/>
      <c r="M12" s="388"/>
      <c r="N12" s="387"/>
      <c r="O12" s="387"/>
      <c r="P12" s="387"/>
      <c r="Q12" s="497"/>
      <c r="R12" s="91"/>
      <c r="S12" s="111"/>
      <c r="X12" s="388"/>
      <c r="Y12" s="388"/>
      <c r="Z12" s="388"/>
      <c r="AA12" s="388"/>
      <c r="AB12" s="388"/>
      <c r="AC12" s="388"/>
      <c r="AD12" s="388"/>
      <c r="AE12" s="387"/>
      <c r="AF12" s="387"/>
      <c r="AG12" s="387"/>
      <c r="AH12" s="387"/>
      <c r="AK12" s="393"/>
    </row>
    <row r="13" spans="1:38" s="33" customFormat="1" ht="16.5" thickBot="1" x14ac:dyDescent="0.25">
      <c r="B13" s="382" t="s">
        <v>430</v>
      </c>
      <c r="C13" s="384"/>
      <c r="D13" s="384"/>
      <c r="E13" s="384"/>
      <c r="F13" s="384"/>
      <c r="G13" s="389"/>
      <c r="H13" s="389"/>
      <c r="I13" s="389"/>
      <c r="J13" s="389"/>
      <c r="K13" s="389"/>
      <c r="L13" s="389"/>
      <c r="M13" s="389"/>
      <c r="N13" s="385">
        <f>SUM(N5:N12)</f>
        <v>25549337</v>
      </c>
      <c r="O13" s="385">
        <f>SUM(O5:O12)</f>
        <v>80065240</v>
      </c>
      <c r="P13" s="385">
        <f>SUM(P5:P12)</f>
        <v>0</v>
      </c>
      <c r="Q13" s="499">
        <f>SUM(Q5:Q12)</f>
        <v>105614577</v>
      </c>
      <c r="R13" s="91"/>
      <c r="S13" s="382" t="s">
        <v>250</v>
      </c>
      <c r="T13" s="384"/>
      <c r="U13" s="384"/>
      <c r="V13" s="384"/>
      <c r="W13" s="384"/>
      <c r="X13" s="389"/>
      <c r="Y13" s="389"/>
      <c r="Z13" s="389"/>
      <c r="AA13" s="389"/>
      <c r="AB13" s="389"/>
      <c r="AC13" s="389"/>
      <c r="AD13" s="389"/>
      <c r="AE13" s="385">
        <f>SUM(AE5:AE12)</f>
        <v>25549337</v>
      </c>
      <c r="AF13" s="385">
        <f>SUM(AF5:AF12)</f>
        <v>79465240</v>
      </c>
      <c r="AG13" s="385">
        <f>SUM(AG5:AG12)</f>
        <v>0</v>
      </c>
      <c r="AH13" s="400">
        <f>SUM(AH5:AH12)</f>
        <v>105014577</v>
      </c>
      <c r="AK13" s="393">
        <f ca="1">+Matriz!M49</f>
        <v>105014577</v>
      </c>
      <c r="AL13" s="393">
        <f ca="1">+AK13-AH13</f>
        <v>0</v>
      </c>
    </row>
    <row r="14" spans="1:38" s="33" customFormat="1" ht="15.75" x14ac:dyDescent="0.2">
      <c r="B14" s="84"/>
      <c r="C14" s="91"/>
      <c r="D14" s="91"/>
      <c r="E14" s="91"/>
      <c r="F14" s="87"/>
      <c r="G14" s="91"/>
      <c r="H14" s="91"/>
      <c r="I14" s="91"/>
      <c r="J14" s="91"/>
      <c r="K14" s="91"/>
      <c r="L14" s="91"/>
      <c r="M14" s="87"/>
      <c r="N14" s="387"/>
      <c r="O14" s="387"/>
      <c r="P14" s="387"/>
      <c r="Q14" s="497"/>
      <c r="R14" s="91"/>
      <c r="S14" s="84"/>
      <c r="T14" s="91"/>
      <c r="U14" s="91"/>
      <c r="V14" s="91"/>
      <c r="W14" s="87"/>
      <c r="X14" s="91"/>
      <c r="Y14" s="91"/>
      <c r="Z14" s="91"/>
      <c r="AA14" s="91"/>
      <c r="AB14" s="91"/>
      <c r="AC14" s="91"/>
      <c r="AD14" s="87"/>
      <c r="AE14" s="387"/>
      <c r="AF14" s="387"/>
      <c r="AG14" s="387"/>
      <c r="AH14" s="387"/>
    </row>
    <row r="15" spans="1:38" s="33" customFormat="1" ht="15.75" x14ac:dyDescent="0.2">
      <c r="B15" s="111" t="s">
        <v>251</v>
      </c>
      <c r="C15" s="91"/>
      <c r="D15" s="91"/>
      <c r="E15" s="91"/>
      <c r="F15" s="87"/>
      <c r="G15" s="91"/>
      <c r="H15" s="91"/>
      <c r="I15" s="91"/>
      <c r="J15" s="91"/>
      <c r="K15" s="91"/>
      <c r="L15" s="91"/>
      <c r="M15" s="87"/>
      <c r="N15" s="387">
        <v>651799</v>
      </c>
      <c r="O15" s="387">
        <v>0</v>
      </c>
      <c r="P15" s="387">
        <v>0</v>
      </c>
      <c r="Q15" s="497">
        <f>SUM(N15:P15)</f>
        <v>651799</v>
      </c>
      <c r="R15" s="91"/>
      <c r="S15" s="111" t="s">
        <v>251</v>
      </c>
      <c r="T15" s="91"/>
      <c r="U15" s="91"/>
      <c r="V15" s="91"/>
      <c r="W15" s="87"/>
      <c r="X15" s="91"/>
      <c r="Y15" s="91"/>
      <c r="Z15" s="91"/>
      <c r="AA15" s="91"/>
      <c r="AB15" s="91"/>
      <c r="AC15" s="91"/>
      <c r="AD15" s="87"/>
      <c r="AE15" s="387">
        <v>651799</v>
      </c>
      <c r="AF15" s="387">
        <v>0</v>
      </c>
      <c r="AG15" s="387">
        <v>0</v>
      </c>
      <c r="AH15" s="387">
        <f>SUM(AE15:AG15)</f>
        <v>651799</v>
      </c>
    </row>
    <row r="16" spans="1:38" s="33" customFormat="1" ht="15.75" x14ac:dyDescent="0.2">
      <c r="B16" s="84"/>
      <c r="C16" s="91"/>
      <c r="D16" s="91"/>
      <c r="E16" s="91"/>
      <c r="F16" s="87"/>
      <c r="G16" s="91"/>
      <c r="H16" s="91"/>
      <c r="I16" s="91"/>
      <c r="J16" s="91"/>
      <c r="K16" s="91"/>
      <c r="L16" s="91"/>
      <c r="M16" s="87"/>
      <c r="N16" s="387"/>
      <c r="O16" s="387"/>
      <c r="P16" s="387"/>
      <c r="Q16" s="497"/>
      <c r="R16" s="91"/>
      <c r="S16" s="84"/>
      <c r="T16" s="91"/>
      <c r="U16" s="91"/>
      <c r="V16" s="91"/>
      <c r="W16" s="87"/>
      <c r="X16" s="91"/>
      <c r="Y16" s="91"/>
      <c r="Z16" s="91"/>
      <c r="AA16" s="91"/>
      <c r="AB16" s="91"/>
      <c r="AC16" s="91"/>
      <c r="AD16" s="87"/>
      <c r="AE16" s="387"/>
      <c r="AF16" s="387"/>
      <c r="AG16" s="387"/>
      <c r="AH16" s="387"/>
    </row>
    <row r="17" spans="2:35" s="33" customFormat="1" ht="15.75" x14ac:dyDescent="0.2">
      <c r="B17" s="111" t="s">
        <v>252</v>
      </c>
      <c r="C17" s="91"/>
      <c r="D17" s="91"/>
      <c r="E17" s="91"/>
      <c r="F17" s="87"/>
      <c r="G17" s="91"/>
      <c r="H17" s="91"/>
      <c r="I17" s="91"/>
      <c r="J17" s="91"/>
      <c r="K17" s="91"/>
      <c r="L17" s="91"/>
      <c r="M17" s="87"/>
      <c r="N17" s="387">
        <v>0</v>
      </c>
      <c r="O17" s="89">
        <v>-1836758</v>
      </c>
      <c r="P17" s="387">
        <v>0</v>
      </c>
      <c r="Q17" s="498">
        <f>SUM(N17:P17)</f>
        <v>-1836758</v>
      </c>
      <c r="R17" s="91"/>
      <c r="S17" s="111" t="s">
        <v>252</v>
      </c>
      <c r="T17" s="91"/>
      <c r="U17" s="91"/>
      <c r="V17" s="91"/>
      <c r="W17" s="87"/>
      <c r="X17" s="91"/>
      <c r="Y17" s="91"/>
      <c r="Z17" s="91"/>
      <c r="AA17" s="91"/>
      <c r="AB17" s="91"/>
      <c r="AC17" s="91"/>
      <c r="AD17" s="87"/>
      <c r="AE17" s="387">
        <v>0</v>
      </c>
      <c r="AF17" s="89">
        <v>-1836758</v>
      </c>
      <c r="AG17" s="387">
        <v>0</v>
      </c>
      <c r="AH17" s="89">
        <f>SUM(AE17:AG17)</f>
        <v>-1836758</v>
      </c>
    </row>
    <row r="18" spans="2:35" s="33" customFormat="1" ht="15.75" x14ac:dyDescent="0.2">
      <c r="B18" s="84"/>
      <c r="C18" s="91"/>
      <c r="D18" s="91"/>
      <c r="E18" s="91"/>
      <c r="F18" s="87"/>
      <c r="G18" s="91"/>
      <c r="H18" s="91"/>
      <c r="I18" s="91"/>
      <c r="J18" s="91"/>
      <c r="K18" s="91"/>
      <c r="L18" s="91"/>
      <c r="M18" s="87"/>
      <c r="N18" s="387"/>
      <c r="O18" s="387"/>
      <c r="P18" s="387"/>
      <c r="Q18" s="497"/>
      <c r="R18" s="91"/>
      <c r="S18" s="84"/>
      <c r="T18" s="91"/>
      <c r="U18" s="91"/>
      <c r="V18" s="91"/>
      <c r="W18" s="87"/>
      <c r="X18" s="91"/>
      <c r="Y18" s="91"/>
      <c r="Z18" s="91"/>
      <c r="AA18" s="91"/>
      <c r="AB18" s="91"/>
      <c r="AC18" s="91"/>
      <c r="AD18" s="87"/>
      <c r="AE18" s="387"/>
      <c r="AF18" s="387"/>
      <c r="AG18" s="387"/>
      <c r="AH18" s="387"/>
    </row>
    <row r="19" spans="2:35" s="33" customFormat="1" ht="15.75" x14ac:dyDescent="0.2">
      <c r="B19" s="87" t="s">
        <v>255</v>
      </c>
      <c r="C19" s="87"/>
      <c r="D19" s="87"/>
      <c r="E19" s="87"/>
      <c r="F19" s="87"/>
      <c r="G19" s="88"/>
      <c r="H19" s="88"/>
      <c r="I19" s="88"/>
      <c r="J19" s="88"/>
      <c r="K19" s="88"/>
      <c r="L19" s="88"/>
      <c r="M19" s="88"/>
      <c r="N19" s="387">
        <v>0</v>
      </c>
      <c r="O19" s="387">
        <f ca="1">+Matriz!L77</f>
        <v>12207343</v>
      </c>
      <c r="P19" s="387">
        <v>0</v>
      </c>
      <c r="Q19" s="497">
        <f ca="1">SUM(N19:P19)</f>
        <v>12207343</v>
      </c>
      <c r="R19" s="91"/>
      <c r="S19" s="87" t="s">
        <v>255</v>
      </c>
      <c r="T19" s="87"/>
      <c r="U19" s="87"/>
      <c r="V19" s="87"/>
      <c r="W19" s="87"/>
      <c r="X19" s="88"/>
      <c r="Y19" s="88"/>
      <c r="Z19" s="88"/>
      <c r="AA19" s="88"/>
      <c r="AB19" s="88"/>
      <c r="AC19" s="88"/>
      <c r="AD19" s="88"/>
      <c r="AE19" s="387">
        <v>0</v>
      </c>
      <c r="AF19" s="387">
        <f ca="1">+O19</f>
        <v>12207343</v>
      </c>
      <c r="AG19" s="387">
        <v>0</v>
      </c>
      <c r="AH19" s="387">
        <f ca="1">SUM(AE19:AG19)</f>
        <v>12207343</v>
      </c>
    </row>
    <row r="20" spans="2:35" s="33" customFormat="1" ht="16.5" thickBot="1" x14ac:dyDescent="0.25">
      <c r="B20" s="87"/>
      <c r="C20" s="87"/>
      <c r="D20" s="87"/>
      <c r="E20" s="87"/>
      <c r="F20" s="87"/>
      <c r="G20" s="88"/>
      <c r="H20" s="88"/>
      <c r="I20" s="88"/>
      <c r="J20" s="88"/>
      <c r="K20" s="88"/>
      <c r="L20" s="88"/>
      <c r="M20" s="88"/>
      <c r="N20" s="387"/>
      <c r="O20" s="387"/>
      <c r="P20" s="387"/>
      <c r="Q20" s="497"/>
      <c r="R20" s="91"/>
      <c r="S20" s="87"/>
      <c r="T20" s="87"/>
      <c r="U20" s="87"/>
      <c r="V20" s="87"/>
      <c r="W20" s="87"/>
      <c r="X20" s="88"/>
      <c r="Y20" s="88"/>
      <c r="Z20" s="88"/>
      <c r="AA20" s="88"/>
      <c r="AB20" s="88"/>
      <c r="AC20" s="88"/>
      <c r="AD20" s="88"/>
      <c r="AE20" s="387"/>
      <c r="AF20" s="387"/>
      <c r="AG20" s="387"/>
      <c r="AH20" s="387"/>
    </row>
    <row r="21" spans="2:35" s="33" customFormat="1" ht="16.5" thickBot="1" x14ac:dyDescent="0.3">
      <c r="B21" s="427" t="s">
        <v>254</v>
      </c>
      <c r="C21" s="427"/>
      <c r="D21" s="427"/>
      <c r="E21" s="427"/>
      <c r="F21" s="427"/>
      <c r="G21" s="447"/>
      <c r="H21" s="447"/>
      <c r="I21" s="447"/>
      <c r="J21" s="447"/>
      <c r="K21" s="447"/>
      <c r="L21" s="447"/>
      <c r="M21" s="447"/>
      <c r="N21" s="448"/>
      <c r="O21" s="428">
        <f>+'Reconciliación 1'!C34+'Reconciliación 1'!C56+'Reconciliación 1'!C11</f>
        <v>-600000</v>
      </c>
      <c r="P21" s="448">
        <f>+'Reconciliación 1'!C9</f>
        <v>0</v>
      </c>
      <c r="Q21" s="500">
        <f>SUM(N21:P21)</f>
        <v>-600000</v>
      </c>
      <c r="R21" s="91"/>
      <c r="S21" s="87"/>
      <c r="T21" s="87"/>
      <c r="U21" s="87"/>
      <c r="V21" s="87"/>
      <c r="W21" s="87"/>
      <c r="X21" s="88"/>
      <c r="Y21" s="88"/>
      <c r="Z21" s="88"/>
      <c r="AA21" s="88"/>
      <c r="AB21" s="88"/>
      <c r="AC21" s="88"/>
      <c r="AD21" s="88"/>
      <c r="AE21" s="503"/>
      <c r="AF21" s="504"/>
      <c r="AG21" s="504"/>
      <c r="AH21" s="505"/>
      <c r="AI21" s="386">
        <f>+AI5+AI11</f>
        <v>-600000</v>
      </c>
    </row>
    <row r="22" spans="2:35" s="33" customFormat="1" ht="16.5" thickBot="1" x14ac:dyDescent="0.25">
      <c r="B22" s="87"/>
      <c r="C22" s="87"/>
      <c r="D22" s="87"/>
      <c r="E22" s="87"/>
      <c r="F22" s="87"/>
      <c r="G22" s="88"/>
      <c r="H22" s="88"/>
      <c r="I22" s="88"/>
      <c r="J22" s="88"/>
      <c r="K22" s="88"/>
      <c r="L22" s="88"/>
      <c r="M22" s="88"/>
      <c r="N22" s="387"/>
      <c r="O22" s="387"/>
      <c r="P22" s="387"/>
      <c r="Q22" s="497"/>
      <c r="R22" s="91"/>
      <c r="S22" s="87"/>
      <c r="T22" s="87"/>
      <c r="U22" s="87"/>
      <c r="V22" s="87"/>
      <c r="W22" s="87"/>
      <c r="X22" s="88"/>
      <c r="Y22" s="88"/>
      <c r="Z22" s="88"/>
      <c r="AA22" s="88"/>
      <c r="AB22" s="88"/>
      <c r="AC22" s="88"/>
      <c r="AD22" s="88"/>
      <c r="AE22" s="387"/>
      <c r="AF22" s="387"/>
      <c r="AG22" s="387"/>
      <c r="AH22" s="387"/>
    </row>
    <row r="23" spans="2:35" s="33" customFormat="1" ht="16.5" thickBot="1" x14ac:dyDescent="0.25">
      <c r="B23" s="382" t="s">
        <v>431</v>
      </c>
      <c r="C23" s="384"/>
      <c r="D23" s="384"/>
      <c r="E23" s="384"/>
      <c r="F23" s="384"/>
      <c r="G23" s="389"/>
      <c r="H23" s="389"/>
      <c r="I23" s="389"/>
      <c r="J23" s="389"/>
      <c r="K23" s="389"/>
      <c r="L23" s="389"/>
      <c r="M23" s="389"/>
      <c r="N23" s="385">
        <f>SUM(N13:N22)</f>
        <v>26201136</v>
      </c>
      <c r="O23" s="385">
        <f ca="1">SUM(O13:O22)</f>
        <v>89835825</v>
      </c>
      <c r="P23" s="385">
        <f>SUM(P13:P22)</f>
        <v>0</v>
      </c>
      <c r="Q23" s="501">
        <f ca="1">SUM(Q13:Q22)</f>
        <v>116036961</v>
      </c>
      <c r="R23" s="91"/>
      <c r="S23" s="382" t="s">
        <v>250</v>
      </c>
      <c r="T23" s="384"/>
      <c r="U23" s="384"/>
      <c r="V23" s="384"/>
      <c r="W23" s="384"/>
      <c r="X23" s="389"/>
      <c r="Y23" s="389"/>
      <c r="Z23" s="389"/>
      <c r="AA23" s="389"/>
      <c r="AB23" s="389"/>
      <c r="AC23" s="389"/>
      <c r="AD23" s="389"/>
      <c r="AE23" s="385">
        <f>SUM(AE13:AE22)</f>
        <v>26201136</v>
      </c>
      <c r="AF23" s="385">
        <f ca="1">SUM(AF13:AF22)</f>
        <v>89835825</v>
      </c>
      <c r="AG23" s="385">
        <f>SUM(AG13:AG22)</f>
        <v>0</v>
      </c>
      <c r="AH23" s="400">
        <f ca="1">SUM(AH13:AH22)</f>
        <v>116036961</v>
      </c>
    </row>
    <row r="24" spans="2:35" s="33" customFormat="1" ht="15.75" x14ac:dyDescent="0.2">
      <c r="B24" s="87"/>
      <c r="C24" s="87"/>
      <c r="D24" s="87"/>
      <c r="E24" s="87"/>
      <c r="F24" s="87"/>
      <c r="G24" s="88"/>
      <c r="H24" s="88"/>
      <c r="I24" s="88"/>
      <c r="J24" s="88"/>
      <c r="K24" s="88"/>
      <c r="L24" s="88"/>
      <c r="M24" s="88"/>
      <c r="N24" s="87"/>
      <c r="O24" s="87"/>
      <c r="P24" s="211" t="s">
        <v>271</v>
      </c>
      <c r="Q24" s="390">
        <f>+Q5-Matriz!E49</f>
        <v>0</v>
      </c>
      <c r="R24" s="91"/>
      <c r="S24" s="87"/>
      <c r="T24" s="87"/>
      <c r="U24" s="87"/>
      <c r="V24" s="87"/>
      <c r="W24" s="87"/>
      <c r="X24" s="88"/>
      <c r="Y24" s="88"/>
      <c r="Z24" s="88"/>
      <c r="AA24" s="88"/>
      <c r="AB24" s="88"/>
      <c r="AC24" s="88"/>
      <c r="AD24" s="88"/>
      <c r="AE24" s="87"/>
      <c r="AF24" s="87"/>
      <c r="AG24" s="211" t="s">
        <v>271</v>
      </c>
      <c r="AH24" s="390">
        <f ca="1">+AH5-Matriz!N49</f>
        <v>0</v>
      </c>
    </row>
    <row r="25" spans="2:35" s="33" customFormat="1" ht="15.75" x14ac:dyDescent="0.2">
      <c r="B25" s="87"/>
      <c r="C25" s="87"/>
      <c r="D25" s="87"/>
      <c r="E25" s="87"/>
      <c r="F25" s="87"/>
      <c r="G25" s="88"/>
      <c r="H25" s="88"/>
      <c r="I25" s="88"/>
      <c r="J25" s="88"/>
      <c r="K25" s="88"/>
      <c r="L25" s="88"/>
      <c r="M25" s="88"/>
      <c r="N25" s="87"/>
      <c r="O25" s="87"/>
      <c r="P25" s="211" t="s">
        <v>271</v>
      </c>
      <c r="Q25" s="90">
        <f>+Q13-Matriz!D49</f>
        <v>0</v>
      </c>
      <c r="R25" s="91"/>
      <c r="S25" s="87"/>
      <c r="T25" s="87"/>
      <c r="U25" s="87"/>
      <c r="V25" s="87"/>
      <c r="W25" s="87"/>
      <c r="X25" s="88"/>
      <c r="Y25" s="88"/>
      <c r="Z25" s="88"/>
      <c r="AA25" s="88"/>
      <c r="AB25" s="88"/>
      <c r="AC25" s="88"/>
      <c r="AD25" s="88"/>
      <c r="AE25" s="87"/>
      <c r="AF25" s="87"/>
      <c r="AG25" s="211" t="s">
        <v>271</v>
      </c>
      <c r="AH25" s="90">
        <f ca="1">+AH13-Matriz!M49</f>
        <v>0</v>
      </c>
    </row>
    <row r="26" spans="2:35" s="33" customFormat="1" ht="15.75" x14ac:dyDescent="0.2">
      <c r="B26" s="87"/>
      <c r="C26" s="87"/>
      <c r="D26" s="87"/>
      <c r="E26" s="87"/>
      <c r="F26" s="87"/>
      <c r="G26" s="88"/>
      <c r="H26" s="88"/>
      <c r="I26" s="88"/>
      <c r="J26" s="88"/>
      <c r="K26" s="88"/>
      <c r="L26" s="88"/>
      <c r="M26" s="88"/>
      <c r="N26" s="87"/>
      <c r="O26" s="87"/>
      <c r="P26" s="211" t="s">
        <v>271</v>
      </c>
      <c r="Q26" s="90">
        <f ca="1">+Q23-Matriz!L49</f>
        <v>0</v>
      </c>
      <c r="R26" s="91"/>
      <c r="S26" s="87"/>
      <c r="T26" s="87"/>
      <c r="U26" s="87"/>
      <c r="V26" s="87"/>
      <c r="W26" s="87"/>
      <c r="X26" s="88"/>
      <c r="Y26" s="88"/>
      <c r="Z26" s="88"/>
      <c r="AA26" s="88"/>
      <c r="AB26" s="88"/>
      <c r="AC26" s="88"/>
      <c r="AD26" s="88"/>
      <c r="AE26" s="87"/>
      <c r="AF26" s="87"/>
      <c r="AG26" s="211" t="s">
        <v>271</v>
      </c>
      <c r="AH26" s="90">
        <f ca="1">+AH23-Matriz!L49</f>
        <v>0</v>
      </c>
    </row>
    <row r="27" spans="2:35" s="33" customFormat="1" x14ac:dyDescent="0.2"/>
    <row r="28" spans="2:35" s="33" customFormat="1" ht="15.75" x14ac:dyDescent="0.25">
      <c r="B28" s="391" t="s">
        <v>257</v>
      </c>
      <c r="C28" s="106"/>
      <c r="D28" s="106"/>
      <c r="E28" s="106"/>
      <c r="F28" s="106"/>
      <c r="G28" s="113"/>
      <c r="H28" s="113"/>
      <c r="I28" s="113"/>
      <c r="J28" s="113"/>
      <c r="K28" s="113"/>
      <c r="L28" s="113"/>
      <c r="M28" s="113"/>
      <c r="N28" s="106"/>
      <c r="O28" s="392"/>
      <c r="Q28" s="393"/>
      <c r="X28" s="388"/>
      <c r="Y28" s="388"/>
      <c r="Z28" s="388"/>
      <c r="AA28" s="388"/>
      <c r="AB28" s="388"/>
      <c r="AC28" s="388"/>
      <c r="AD28" s="388"/>
    </row>
    <row r="29" spans="2:35" s="33" customFormat="1" ht="15.75" x14ac:dyDescent="0.25">
      <c r="B29" s="394" t="s">
        <v>258</v>
      </c>
      <c r="C29" s="87"/>
      <c r="D29" s="87"/>
      <c r="E29" s="87"/>
      <c r="F29" s="87"/>
      <c r="G29" s="104"/>
      <c r="H29" s="104"/>
      <c r="I29" s="104"/>
      <c r="J29" s="104"/>
      <c r="K29" s="104"/>
      <c r="L29" s="104"/>
      <c r="M29" s="104"/>
      <c r="N29" s="87"/>
      <c r="O29" s="395"/>
      <c r="X29" s="388"/>
      <c r="Y29" s="388"/>
      <c r="Z29" s="388"/>
      <c r="AA29" s="388"/>
      <c r="AB29" s="388"/>
      <c r="AC29" s="388"/>
      <c r="AD29" s="388"/>
    </row>
    <row r="30" spans="2:35" s="33" customFormat="1" x14ac:dyDescent="0.2">
      <c r="B30" s="99"/>
      <c r="C30" s="87"/>
      <c r="D30" s="87"/>
      <c r="E30" s="87"/>
      <c r="F30" s="87"/>
      <c r="G30" s="104"/>
      <c r="H30" s="104"/>
      <c r="I30" s="104"/>
      <c r="J30" s="104"/>
      <c r="K30" s="104"/>
      <c r="L30" s="104"/>
      <c r="M30" s="104"/>
      <c r="N30" s="87"/>
      <c r="O30" s="395"/>
      <c r="X30" s="388"/>
      <c r="Y30" s="388"/>
      <c r="Z30" s="388"/>
      <c r="AA30" s="388"/>
      <c r="AB30" s="388"/>
      <c r="AC30" s="388"/>
      <c r="AD30" s="388"/>
    </row>
    <row r="31" spans="2:35" s="33" customFormat="1" x14ac:dyDescent="0.2">
      <c r="B31" s="99"/>
      <c r="C31" s="87"/>
      <c r="D31" s="87"/>
      <c r="E31" s="87"/>
      <c r="F31" s="87"/>
      <c r="G31" s="104"/>
      <c r="H31" s="104"/>
      <c r="I31" s="104"/>
      <c r="J31" s="104"/>
      <c r="K31" s="104"/>
      <c r="L31" s="104"/>
      <c r="M31" s="104"/>
      <c r="N31" s="87"/>
      <c r="O31" s="395"/>
      <c r="X31" s="388"/>
      <c r="Y31" s="388"/>
      <c r="Z31" s="388"/>
      <c r="AA31" s="388"/>
      <c r="AB31" s="388"/>
      <c r="AC31" s="388"/>
      <c r="AD31" s="388"/>
    </row>
    <row r="32" spans="2:35" s="33" customFormat="1" x14ac:dyDescent="0.2">
      <c r="B32" s="99"/>
      <c r="C32" s="87"/>
      <c r="D32" s="87"/>
      <c r="E32" s="87"/>
      <c r="F32" s="87"/>
      <c r="G32" s="104"/>
      <c r="H32" s="104"/>
      <c r="I32" s="104"/>
      <c r="J32" s="104"/>
      <c r="K32" s="104"/>
      <c r="L32" s="104"/>
      <c r="M32" s="104"/>
      <c r="N32" s="87"/>
      <c r="O32" s="395"/>
      <c r="X32" s="388"/>
      <c r="Y32" s="388"/>
      <c r="Z32" s="388"/>
      <c r="AA32" s="388"/>
      <c r="AB32" s="388"/>
      <c r="AC32" s="388"/>
      <c r="AD32" s="388"/>
    </row>
    <row r="33" spans="2:30" s="33" customFormat="1" x14ac:dyDescent="0.2">
      <c r="B33" s="99"/>
      <c r="C33" s="87"/>
      <c r="D33" s="87"/>
      <c r="E33" s="87"/>
      <c r="F33" s="87"/>
      <c r="G33" s="104"/>
      <c r="H33" s="104"/>
      <c r="I33" s="104"/>
      <c r="J33" s="104"/>
      <c r="K33" s="104"/>
      <c r="L33" s="104"/>
      <c r="M33" s="104"/>
      <c r="N33" s="87"/>
      <c r="O33" s="395"/>
      <c r="X33" s="388"/>
      <c r="Y33" s="388"/>
      <c r="Z33" s="388"/>
      <c r="AA33" s="388"/>
      <c r="AB33" s="388"/>
      <c r="AC33" s="388"/>
      <c r="AD33" s="388"/>
    </row>
    <row r="34" spans="2:30" s="33" customFormat="1" x14ac:dyDescent="0.2">
      <c r="B34" s="99" t="s">
        <v>263</v>
      </c>
      <c r="C34" s="87"/>
      <c r="D34" s="87"/>
      <c r="E34" s="87"/>
      <c r="F34" s="87"/>
      <c r="G34" s="104"/>
      <c r="H34" s="104"/>
      <c r="I34" s="104"/>
      <c r="J34" s="104"/>
      <c r="K34" s="104"/>
      <c r="L34" s="104"/>
      <c r="M34" s="104"/>
      <c r="N34" s="87"/>
      <c r="O34" s="395">
        <f>+'Reconciliación 1'!D7</f>
        <v>0</v>
      </c>
      <c r="X34" s="388"/>
      <c r="Y34" s="388"/>
      <c r="Z34" s="388"/>
      <c r="AA34" s="388"/>
      <c r="AB34" s="388"/>
      <c r="AC34" s="388"/>
      <c r="AD34" s="388"/>
    </row>
    <row r="35" spans="2:30" s="33" customFormat="1" x14ac:dyDescent="0.2">
      <c r="B35" s="99" t="s">
        <v>262</v>
      </c>
      <c r="C35" s="87"/>
      <c r="D35" s="87"/>
      <c r="E35" s="87"/>
      <c r="F35" s="87"/>
      <c r="G35" s="104"/>
      <c r="H35" s="104"/>
      <c r="I35" s="104"/>
      <c r="J35" s="104"/>
      <c r="K35" s="104"/>
      <c r="L35" s="104"/>
      <c r="M35" s="104"/>
      <c r="N35" s="87"/>
      <c r="O35" s="396">
        <f>+SUM('Reconciliación 1'!D14:D33)</f>
        <v>-450000</v>
      </c>
      <c r="X35" s="388"/>
      <c r="Y35" s="388"/>
      <c r="Z35" s="388"/>
      <c r="AA35" s="388"/>
      <c r="AB35" s="388"/>
      <c r="AC35" s="388"/>
      <c r="AD35" s="388"/>
    </row>
    <row r="36" spans="2:30" s="33" customFormat="1" x14ac:dyDescent="0.2">
      <c r="B36" s="99"/>
      <c r="C36" s="87"/>
      <c r="D36" s="87"/>
      <c r="E36" s="87"/>
      <c r="F36" s="87"/>
      <c r="G36" s="104"/>
      <c r="H36" s="104"/>
      <c r="I36" s="104"/>
      <c r="J36" s="104"/>
      <c r="K36" s="104"/>
      <c r="L36" s="104"/>
      <c r="M36" s="104"/>
      <c r="N36" s="87"/>
      <c r="O36" s="395">
        <f>SUM(O30:O35)</f>
        <v>-450000</v>
      </c>
      <c r="X36" s="388"/>
      <c r="Y36" s="388"/>
      <c r="Z36" s="388"/>
      <c r="AA36" s="388"/>
      <c r="AB36" s="388"/>
      <c r="AC36" s="388"/>
      <c r="AD36" s="388"/>
    </row>
    <row r="37" spans="2:30" s="33" customFormat="1" x14ac:dyDescent="0.2">
      <c r="B37" s="99" t="s">
        <v>433</v>
      </c>
      <c r="C37" s="87"/>
      <c r="D37" s="87"/>
      <c r="E37" s="87"/>
      <c r="F37" s="87"/>
      <c r="G37" s="104"/>
      <c r="H37" s="104"/>
      <c r="I37" s="104"/>
      <c r="J37" s="104"/>
      <c r="K37" s="104"/>
      <c r="L37" s="104"/>
      <c r="M37" s="104"/>
      <c r="N37" s="87"/>
      <c r="O37" s="395">
        <f>+'Reconciliación 1'!C56</f>
        <v>-150000</v>
      </c>
      <c r="X37" s="388"/>
      <c r="Y37" s="388"/>
      <c r="Z37" s="388"/>
      <c r="AA37" s="388"/>
      <c r="AB37" s="388"/>
      <c r="AC37" s="388"/>
      <c r="AD37" s="388"/>
    </row>
    <row r="38" spans="2:30" s="33" customFormat="1" ht="15.75" x14ac:dyDescent="0.25">
      <c r="B38" s="397"/>
      <c r="C38" s="109"/>
      <c r="D38" s="109"/>
      <c r="E38" s="109"/>
      <c r="F38" s="109"/>
      <c r="G38" s="92"/>
      <c r="H38" s="92"/>
      <c r="I38" s="92"/>
      <c r="J38" s="92"/>
      <c r="K38" s="92"/>
      <c r="L38" s="92"/>
      <c r="M38" s="92"/>
      <c r="N38" s="109"/>
      <c r="O38" s="315">
        <f>+O36+O37</f>
        <v>-600000</v>
      </c>
      <c r="X38" s="388"/>
      <c r="Y38" s="388"/>
      <c r="Z38" s="388"/>
      <c r="AA38" s="388"/>
      <c r="AB38" s="388"/>
      <c r="AC38" s="388"/>
      <c r="AD38" s="388"/>
    </row>
    <row r="39" spans="2:30" s="33" customFormat="1" x14ac:dyDescent="0.2">
      <c r="X39" s="388"/>
      <c r="Y39" s="388"/>
      <c r="Z39" s="388"/>
      <c r="AA39" s="388"/>
      <c r="AB39" s="388"/>
      <c r="AC39" s="388"/>
      <c r="AD39" s="388"/>
    </row>
    <row r="40" spans="2:30" s="33" customFormat="1" x14ac:dyDescent="0.2">
      <c r="X40" s="388"/>
      <c r="Y40" s="388"/>
      <c r="Z40" s="388"/>
      <c r="AA40" s="388"/>
      <c r="AB40" s="388"/>
      <c r="AC40" s="388"/>
      <c r="AD40" s="388"/>
    </row>
    <row r="41" spans="2:30" s="14" customFormat="1" ht="12.75" x14ac:dyDescent="0.2">
      <c r="X41" s="18"/>
      <c r="Y41" s="18"/>
      <c r="Z41" s="18"/>
      <c r="AA41" s="18"/>
      <c r="AB41" s="18"/>
      <c r="AC41" s="18"/>
      <c r="AD41" s="18"/>
    </row>
    <row r="42" spans="2:30" s="14" customFormat="1" ht="12.75" x14ac:dyDescent="0.2">
      <c r="X42" s="18"/>
      <c r="Y42" s="18"/>
      <c r="Z42" s="18"/>
      <c r="AA42" s="18"/>
      <c r="AB42" s="18"/>
      <c r="AC42" s="18"/>
      <c r="AD42" s="18"/>
    </row>
    <row r="43" spans="2:30" s="14" customFormat="1" ht="12.75" x14ac:dyDescent="0.2">
      <c r="X43" s="18"/>
      <c r="Y43" s="18"/>
      <c r="Z43" s="18"/>
      <c r="AA43" s="18"/>
      <c r="AB43" s="18"/>
      <c r="AC43" s="18"/>
      <c r="AD43" s="18"/>
    </row>
    <row r="44" spans="2:30" s="14" customFormat="1" ht="12.75" x14ac:dyDescent="0.2">
      <c r="G44" s="18"/>
      <c r="H44" s="18"/>
      <c r="I44" s="18"/>
      <c r="J44" s="18"/>
      <c r="K44" s="18"/>
      <c r="L44" s="18"/>
      <c r="M44" s="18"/>
      <c r="X44" s="18"/>
      <c r="Y44" s="18"/>
      <c r="Z44" s="18"/>
      <c r="AA44" s="18"/>
      <c r="AB44" s="18"/>
      <c r="AC44" s="18"/>
      <c r="AD44" s="18"/>
    </row>
    <row r="45" spans="2:30" s="14" customFormat="1" ht="12.75" x14ac:dyDescent="0.2">
      <c r="G45" s="18"/>
      <c r="H45" s="18"/>
      <c r="I45" s="18"/>
      <c r="J45" s="18"/>
      <c r="K45" s="18"/>
      <c r="L45" s="18"/>
      <c r="M45" s="18"/>
      <c r="X45" s="18"/>
      <c r="Y45" s="18"/>
      <c r="Z45" s="18"/>
      <c r="AA45" s="18"/>
      <c r="AB45" s="18"/>
      <c r="AC45" s="18"/>
      <c r="AD45" s="18"/>
    </row>
    <row r="46" spans="2:30" s="14" customFormat="1" ht="12.75" x14ac:dyDescent="0.2">
      <c r="G46" s="18"/>
      <c r="H46" s="18"/>
      <c r="I46" s="18"/>
      <c r="J46" s="18"/>
      <c r="K46" s="18"/>
      <c r="L46" s="18"/>
      <c r="M46" s="18"/>
      <c r="X46" s="18"/>
      <c r="Y46" s="18"/>
      <c r="Z46" s="18"/>
      <c r="AA46" s="18"/>
      <c r="AB46" s="18"/>
      <c r="AC46" s="18"/>
      <c r="AD46" s="18"/>
    </row>
    <row r="47" spans="2:30" s="14" customFormat="1" ht="12.75" x14ac:dyDescent="0.2">
      <c r="G47" s="18"/>
      <c r="H47" s="18"/>
      <c r="I47" s="18"/>
      <c r="J47" s="18"/>
      <c r="K47" s="18"/>
      <c r="L47" s="18"/>
      <c r="M47" s="18"/>
      <c r="X47" s="18"/>
      <c r="Y47" s="18"/>
      <c r="Z47" s="18"/>
      <c r="AA47" s="18"/>
      <c r="AB47" s="18"/>
      <c r="AC47" s="18"/>
      <c r="AD47" s="18"/>
    </row>
    <row r="48" spans="2:30" s="14" customFormat="1" ht="12.75" x14ac:dyDescent="0.2">
      <c r="G48" s="18"/>
      <c r="H48" s="18"/>
      <c r="I48" s="18"/>
      <c r="J48" s="18"/>
      <c r="K48" s="18"/>
      <c r="L48" s="18"/>
      <c r="M48" s="18"/>
      <c r="X48" s="18"/>
      <c r="Y48" s="18"/>
      <c r="Z48" s="18"/>
      <c r="AA48" s="18"/>
      <c r="AB48" s="18"/>
      <c r="AC48" s="18"/>
      <c r="AD48" s="18"/>
    </row>
    <row r="49" spans="7:30" s="14" customFormat="1" ht="12.75" x14ac:dyDescent="0.2">
      <c r="G49" s="18"/>
      <c r="H49" s="18"/>
      <c r="I49" s="18"/>
      <c r="J49" s="18"/>
      <c r="K49" s="18"/>
      <c r="L49" s="18"/>
      <c r="M49" s="18"/>
      <c r="X49" s="18"/>
      <c r="Y49" s="18"/>
      <c r="Z49" s="18"/>
      <c r="AA49" s="18"/>
      <c r="AB49" s="18"/>
      <c r="AC49" s="18"/>
      <c r="AD49" s="18"/>
    </row>
    <row r="50" spans="7:30" s="14" customFormat="1" ht="12.75" x14ac:dyDescent="0.2">
      <c r="G50" s="18"/>
      <c r="H50" s="18"/>
      <c r="I50" s="18"/>
      <c r="J50" s="18"/>
      <c r="K50" s="18"/>
      <c r="L50" s="18"/>
      <c r="M50" s="18"/>
      <c r="X50" s="18"/>
      <c r="Y50" s="18"/>
      <c r="Z50" s="18"/>
      <c r="AA50" s="18"/>
      <c r="AB50" s="18"/>
      <c r="AC50" s="18"/>
      <c r="AD50" s="18"/>
    </row>
  </sheetData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0"/>
  <sheetViews>
    <sheetView zoomScale="90" zoomScaleNormal="90" workbookViewId="0">
      <pane xSplit="2" ySplit="5" topLeftCell="C45" activePane="bottomRight" state="frozen"/>
      <selection pane="topRight" activeCell="G1" sqref="G1"/>
      <selection pane="bottomLeft" activeCell="A4" sqref="A4"/>
      <selection pane="bottomRight" activeCell="B1" sqref="B1:E33"/>
    </sheetView>
  </sheetViews>
  <sheetFormatPr baseColWidth="10" defaultColWidth="9.140625" defaultRowHeight="15" customHeight="1" x14ac:dyDescent="0.25"/>
  <cols>
    <col min="1" max="1" width="6" style="14" bestFit="1" customWidth="1"/>
    <col min="2" max="2" width="42.7109375" style="14" bestFit="1" customWidth="1"/>
    <col min="3" max="3" width="2" style="14" customWidth="1"/>
    <col min="4" max="6" width="13" style="14" bestFit="1" customWidth="1"/>
    <col min="7" max="7" width="3.42578125" style="14" customWidth="1"/>
    <col min="8" max="49" width="14.7109375" customWidth="1"/>
  </cols>
  <sheetData>
    <row r="1" spans="1:8" ht="15" customHeight="1" x14ac:dyDescent="0.25">
      <c r="A1" s="95" t="s">
        <v>272</v>
      </c>
      <c r="B1" s="96"/>
      <c r="C1" s="96"/>
      <c r="D1" s="96"/>
      <c r="E1" s="96"/>
      <c r="F1" s="96"/>
      <c r="H1" s="14"/>
    </row>
    <row r="2" spans="1:8" ht="15" customHeight="1" x14ac:dyDescent="0.25">
      <c r="A2" s="95" t="s">
        <v>267</v>
      </c>
      <c r="B2" s="96"/>
      <c r="C2" s="96"/>
      <c r="D2" s="96"/>
      <c r="E2" s="96"/>
      <c r="F2" s="96"/>
      <c r="H2" s="14"/>
    </row>
    <row r="3" spans="1:8" s="14" customFormat="1" ht="15" customHeight="1" x14ac:dyDescent="0.2">
      <c r="A3" s="20"/>
      <c r="B3" s="13"/>
      <c r="C3" s="13"/>
      <c r="D3" s="20" t="s">
        <v>241</v>
      </c>
      <c r="E3" s="20" t="s">
        <v>241</v>
      </c>
      <c r="F3" s="20" t="s">
        <v>240</v>
      </c>
    </row>
    <row r="4" spans="1:8" s="14" customFormat="1" ht="15" customHeight="1" x14ac:dyDescent="0.2">
      <c r="A4" s="13"/>
      <c r="B4" s="13"/>
      <c r="C4" s="13"/>
      <c r="D4" s="20">
        <v>2025</v>
      </c>
      <c r="E4" s="20">
        <v>2024</v>
      </c>
      <c r="F4" s="20">
        <v>2024</v>
      </c>
    </row>
    <row r="5" spans="1:8" s="14" customFormat="1" ht="15" customHeight="1" x14ac:dyDescent="0.2">
      <c r="A5" s="13"/>
      <c r="B5" s="17" t="s">
        <v>55</v>
      </c>
      <c r="C5" s="13"/>
      <c r="D5" s="21" t="s">
        <v>54</v>
      </c>
      <c r="E5" s="21" t="s">
        <v>54</v>
      </c>
      <c r="F5" s="21" t="s">
        <v>54</v>
      </c>
    </row>
    <row r="6" spans="1:8" ht="15" customHeight="1" x14ac:dyDescent="0.25">
      <c r="A6" s="13"/>
      <c r="B6" s="17" t="s">
        <v>59</v>
      </c>
      <c r="C6" s="13"/>
      <c r="D6" s="10"/>
      <c r="E6" s="10"/>
      <c r="F6" s="10"/>
      <c r="H6" s="14"/>
    </row>
    <row r="7" spans="1:8" ht="15" customHeight="1" x14ac:dyDescent="0.25">
      <c r="A7" s="13" t="s">
        <v>60</v>
      </c>
      <c r="B7" s="10" t="s">
        <v>61</v>
      </c>
      <c r="C7" s="16"/>
      <c r="D7" s="23">
        <f ca="1">+Matriz!L9</f>
        <v>4802961</v>
      </c>
      <c r="E7" s="23">
        <f ca="1">+Matriz!M9</f>
        <v>4979761</v>
      </c>
      <c r="F7" s="23">
        <f ca="1">+Matriz!N9</f>
        <v>41365786</v>
      </c>
      <c r="H7" s="14"/>
    </row>
    <row r="8" spans="1:8" ht="15" customHeight="1" x14ac:dyDescent="0.25">
      <c r="A8" s="13" t="s">
        <v>62</v>
      </c>
      <c r="B8" s="11" t="s">
        <v>63</v>
      </c>
      <c r="C8" s="16"/>
      <c r="D8" s="23">
        <f ca="1">+Matriz!L10</f>
        <v>23532324</v>
      </c>
      <c r="E8" s="23">
        <f ca="1">+Matriz!M10</f>
        <v>8677903</v>
      </c>
      <c r="F8" s="23">
        <f ca="1">+Matriz!N10</f>
        <v>19800738</v>
      </c>
      <c r="H8" s="14"/>
    </row>
    <row r="9" spans="1:8" ht="15" customHeight="1" x14ac:dyDescent="0.25">
      <c r="A9" s="13" t="s">
        <v>64</v>
      </c>
      <c r="B9" s="10" t="s">
        <v>65</v>
      </c>
      <c r="C9" s="16"/>
      <c r="D9" s="23">
        <f ca="1">+Matriz!L11</f>
        <v>50616908</v>
      </c>
      <c r="E9" s="23">
        <f ca="1">+Matriz!M11</f>
        <v>157947</v>
      </c>
      <c r="F9" s="23">
        <f ca="1">+Matriz!N11</f>
        <v>0</v>
      </c>
      <c r="H9" s="14"/>
    </row>
    <row r="10" spans="1:8" ht="15" customHeight="1" x14ac:dyDescent="0.25">
      <c r="A10" s="13" t="s">
        <v>66</v>
      </c>
      <c r="B10" s="11" t="s">
        <v>67</v>
      </c>
      <c r="C10" s="24"/>
      <c r="D10" s="23">
        <f ca="1">+Matriz!L12</f>
        <v>7549999</v>
      </c>
      <c r="E10" s="23">
        <f ca="1">+Matriz!M12</f>
        <v>8591901</v>
      </c>
      <c r="F10" s="23">
        <f ca="1">+Matriz!N12</f>
        <v>8611271</v>
      </c>
      <c r="H10" s="14"/>
    </row>
    <row r="11" spans="1:8" ht="15" customHeight="1" x14ac:dyDescent="0.25">
      <c r="A11" s="13" t="s">
        <v>68</v>
      </c>
      <c r="B11" s="10" t="s">
        <v>69</v>
      </c>
      <c r="C11" s="16"/>
      <c r="D11" s="23">
        <f ca="1">+Matriz!L13</f>
        <v>508739</v>
      </c>
      <c r="E11" s="23">
        <f ca="1">+Matriz!M13</f>
        <v>1038707</v>
      </c>
      <c r="F11" s="23">
        <f ca="1">+Matriz!N13</f>
        <v>416646</v>
      </c>
      <c r="H11" s="14"/>
    </row>
    <row r="12" spans="1:8" ht="15" customHeight="1" x14ac:dyDescent="0.25">
      <c r="A12" s="13" t="s">
        <v>70</v>
      </c>
      <c r="B12" s="10" t="s">
        <v>71</v>
      </c>
      <c r="C12" s="16"/>
      <c r="D12" s="23">
        <f ca="1">+Matriz!L14</f>
        <v>5733393</v>
      </c>
      <c r="E12" s="23">
        <f ca="1">+Matriz!M14</f>
        <v>5748442</v>
      </c>
      <c r="F12" s="23">
        <f ca="1">+Matriz!N14</f>
        <v>5821147</v>
      </c>
      <c r="H12" s="14"/>
    </row>
    <row r="13" spans="1:8" ht="15" customHeight="1" x14ac:dyDescent="0.25">
      <c r="A13" s="13" t="s">
        <v>72</v>
      </c>
      <c r="B13" s="11" t="s">
        <v>73</v>
      </c>
      <c r="C13" s="16"/>
      <c r="D13" s="23">
        <f ca="1">+Matriz!L15</f>
        <v>195624</v>
      </c>
      <c r="E13" s="23">
        <f ca="1">+Matriz!M15</f>
        <v>127011</v>
      </c>
      <c r="F13" s="23">
        <f ca="1">+Matriz!N15</f>
        <v>281380</v>
      </c>
      <c r="H13" s="14"/>
    </row>
    <row r="14" spans="1:8" ht="15" customHeight="1" x14ac:dyDescent="0.25">
      <c r="A14" s="13" t="s">
        <v>74</v>
      </c>
      <c r="B14" s="11" t="s">
        <v>75</v>
      </c>
      <c r="C14" s="16"/>
      <c r="D14" s="25"/>
      <c r="E14" s="25"/>
      <c r="F14" s="25"/>
      <c r="H14" s="14"/>
    </row>
    <row r="15" spans="1:8" ht="15" customHeight="1" x14ac:dyDescent="0.25">
      <c r="A15" s="13"/>
      <c r="B15" s="17" t="s">
        <v>76</v>
      </c>
      <c r="C15" s="16"/>
      <c r="D15" s="26">
        <f ca="1">SUM(D7:D13)</f>
        <v>92939948</v>
      </c>
      <c r="E15" s="26">
        <f t="shared" ref="E15:F15" ca="1" si="0">SUM(E7:E13)</f>
        <v>29321672</v>
      </c>
      <c r="F15" s="26">
        <f t="shared" ca="1" si="0"/>
        <v>76296968</v>
      </c>
      <c r="H15" s="14"/>
    </row>
    <row r="16" spans="1:8" ht="15" customHeight="1" x14ac:dyDescent="0.25">
      <c r="A16" s="13"/>
      <c r="B16" s="17" t="s">
        <v>77</v>
      </c>
      <c r="C16" s="16"/>
      <c r="D16" s="16"/>
      <c r="E16" s="16"/>
      <c r="F16" s="16"/>
      <c r="H16" s="14"/>
    </row>
    <row r="17" spans="1:8" ht="15" customHeight="1" x14ac:dyDescent="0.25">
      <c r="A17" s="13" t="s">
        <v>78</v>
      </c>
      <c r="B17" s="10" t="s">
        <v>65</v>
      </c>
      <c r="C17" s="16"/>
      <c r="D17" s="23">
        <f ca="1">+Matriz!L19</f>
        <v>0</v>
      </c>
      <c r="E17" s="23">
        <f ca="1">+Matriz!M19</f>
        <v>51828700</v>
      </c>
      <c r="F17" s="23">
        <f ca="1">+Matriz!N19</f>
        <v>0</v>
      </c>
      <c r="H17" s="14"/>
    </row>
    <row r="18" spans="1:8" ht="15" customHeight="1" x14ac:dyDescent="0.25">
      <c r="A18" s="13" t="s">
        <v>79</v>
      </c>
      <c r="B18" s="10" t="s">
        <v>137</v>
      </c>
      <c r="C18" s="16"/>
      <c r="D18" s="23">
        <f ca="1">+Matriz!L20</f>
        <v>22473326</v>
      </c>
      <c r="E18" s="23">
        <f ca="1">+Matriz!M20</f>
        <v>21873937</v>
      </c>
      <c r="F18" s="23">
        <f ca="1">+Matriz!N20</f>
        <v>27720908</v>
      </c>
      <c r="H18" s="14"/>
    </row>
    <row r="19" spans="1:8" ht="15" customHeight="1" x14ac:dyDescent="0.25">
      <c r="A19" s="13" t="s">
        <v>198</v>
      </c>
      <c r="B19" s="10" t="s">
        <v>199</v>
      </c>
      <c r="C19" s="16"/>
      <c r="D19" s="23">
        <f ca="1">+Matriz!L21</f>
        <v>0</v>
      </c>
      <c r="E19" s="23">
        <f ca="1">+Matriz!M21</f>
        <v>0</v>
      </c>
      <c r="F19" s="23">
        <f ca="1">+Matriz!N21</f>
        <v>0</v>
      </c>
      <c r="H19" s="14"/>
    </row>
    <row r="20" spans="1:8" s="14" customFormat="1" ht="15" customHeight="1" x14ac:dyDescent="0.2">
      <c r="A20" s="13" t="s">
        <v>196</v>
      </c>
      <c r="B20" s="10" t="s">
        <v>197</v>
      </c>
      <c r="C20" s="16"/>
      <c r="D20" s="23">
        <f ca="1">+Matriz!L22</f>
        <v>0</v>
      </c>
      <c r="E20" s="23">
        <f ca="1">+Matriz!M22</f>
        <v>0</v>
      </c>
      <c r="F20" s="23">
        <f ca="1">+Matriz!N22</f>
        <v>0</v>
      </c>
    </row>
    <row r="21" spans="1:8" s="14" customFormat="1" ht="15" customHeight="1" x14ac:dyDescent="0.2">
      <c r="A21" s="13" t="s">
        <v>175</v>
      </c>
      <c r="B21" s="10" t="s">
        <v>176</v>
      </c>
      <c r="C21" s="16"/>
      <c r="D21" s="23">
        <f ca="1">+Matriz!L23</f>
        <v>0</v>
      </c>
      <c r="E21" s="23">
        <f ca="1">+Matriz!M23</f>
        <v>0</v>
      </c>
      <c r="F21" s="23">
        <f ca="1">+Matriz!N23</f>
        <v>0</v>
      </c>
    </row>
    <row r="22" spans="1:8" s="14" customFormat="1" ht="15" customHeight="1" x14ac:dyDescent="0.2">
      <c r="A22" s="13"/>
      <c r="B22" s="10" t="s">
        <v>174</v>
      </c>
      <c r="C22" s="16"/>
      <c r="D22" s="23">
        <f ca="1">+Matriz!L24</f>
        <v>3200000</v>
      </c>
      <c r="E22" s="23">
        <f ca="1">+Matriz!M24</f>
        <v>3200000</v>
      </c>
      <c r="F22" s="23">
        <f ca="1">+Matriz!N24</f>
        <v>3200000</v>
      </c>
    </row>
    <row r="23" spans="1:8" s="14" customFormat="1" ht="15" customHeight="1" x14ac:dyDescent="0.2">
      <c r="A23" s="13"/>
      <c r="B23" s="10" t="s">
        <v>183</v>
      </c>
      <c r="C23" s="16"/>
      <c r="D23" s="23">
        <f ca="1">+Matriz!L25</f>
        <v>2000000</v>
      </c>
      <c r="E23" s="23">
        <f ca="1">+Matriz!M25</f>
        <v>2250000</v>
      </c>
      <c r="F23" s="23">
        <f ca="1">+Matriz!N25</f>
        <v>2500000</v>
      </c>
    </row>
    <row r="24" spans="1:8" s="14" customFormat="1" ht="15" customHeight="1" x14ac:dyDescent="0.2">
      <c r="A24" s="13" t="s">
        <v>264</v>
      </c>
      <c r="B24" s="10" t="s">
        <v>265</v>
      </c>
      <c r="C24" s="16"/>
      <c r="D24" s="23">
        <f ca="1">+Matriz!L26</f>
        <v>0</v>
      </c>
      <c r="E24" s="23">
        <f ca="1">+Matriz!M26</f>
        <v>0</v>
      </c>
      <c r="F24" s="23">
        <f ca="1">+Matriz!N26</f>
        <v>0</v>
      </c>
    </row>
    <row r="25" spans="1:8" s="14" customFormat="1" ht="15" customHeight="1" x14ac:dyDescent="0.2">
      <c r="B25" s="14" t="s">
        <v>173</v>
      </c>
      <c r="D25" s="25">
        <f ca="1">+Matriz!L27</f>
        <v>10321008</v>
      </c>
      <c r="E25" s="25">
        <f ca="1">+Matriz!M27</f>
        <v>10321008</v>
      </c>
      <c r="F25" s="25">
        <f ca="1">+Matriz!N27</f>
        <v>0</v>
      </c>
    </row>
    <row r="26" spans="1:8" s="14" customFormat="1" ht="15" customHeight="1" thickBot="1" x14ac:dyDescent="0.25">
      <c r="A26" s="13"/>
      <c r="B26" s="17" t="s">
        <v>81</v>
      </c>
      <c r="C26" s="16"/>
      <c r="D26" s="27">
        <f ca="1">SUM(D15:D25)</f>
        <v>130934282</v>
      </c>
      <c r="E26" s="27">
        <f t="shared" ref="E26:F26" ca="1" si="1">SUM(E15:E25)</f>
        <v>118795317</v>
      </c>
      <c r="F26" s="27">
        <f t="shared" ca="1" si="1"/>
        <v>109717876</v>
      </c>
    </row>
    <row r="27" spans="1:8" s="14" customFormat="1" ht="15" customHeight="1" x14ac:dyDescent="0.2">
      <c r="A27" s="13"/>
      <c r="B27" s="13"/>
      <c r="C27" s="16"/>
      <c r="D27" s="16"/>
      <c r="E27" s="16"/>
      <c r="F27" s="16"/>
    </row>
    <row r="28" spans="1:8" s="14" customFormat="1" ht="15" customHeight="1" x14ac:dyDescent="0.2">
      <c r="A28" s="13"/>
      <c r="B28" s="17" t="s">
        <v>82</v>
      </c>
      <c r="C28" s="16"/>
      <c r="D28" s="16"/>
      <c r="E28" s="16"/>
      <c r="F28" s="16"/>
    </row>
    <row r="29" spans="1:8" s="14" customFormat="1" ht="15" customHeight="1" x14ac:dyDescent="0.2">
      <c r="A29" s="13"/>
      <c r="B29" s="17" t="s">
        <v>83</v>
      </c>
      <c r="C29" s="16"/>
      <c r="D29" s="16"/>
      <c r="E29" s="16"/>
      <c r="F29" s="16"/>
    </row>
    <row r="30" spans="1:8" s="14" customFormat="1" ht="15" customHeight="1" x14ac:dyDescent="0.2">
      <c r="A30" s="13" t="s">
        <v>84</v>
      </c>
      <c r="B30" s="10" t="s">
        <v>85</v>
      </c>
      <c r="C30" s="16"/>
      <c r="D30" s="23">
        <f ca="1">+Matriz!L32</f>
        <v>1721241</v>
      </c>
      <c r="E30" s="23">
        <f ca="1">+Matriz!M32</f>
        <v>769626</v>
      </c>
      <c r="F30" s="23">
        <f ca="1">+Matriz!N32</f>
        <v>2038679</v>
      </c>
    </row>
    <row r="31" spans="1:8" s="14" customFormat="1" ht="15" customHeight="1" x14ac:dyDescent="0.2">
      <c r="A31" s="13" t="s">
        <v>86</v>
      </c>
      <c r="B31" s="10" t="s">
        <v>87</v>
      </c>
      <c r="C31" s="16"/>
      <c r="D31" s="23">
        <f ca="1">+Matriz!L33</f>
        <v>0</v>
      </c>
      <c r="E31" s="23">
        <f ca="1">+Matriz!M33</f>
        <v>251166</v>
      </c>
      <c r="F31" s="23">
        <f ca="1">+Matriz!N33</f>
        <v>1919321</v>
      </c>
    </row>
    <row r="32" spans="1:8" s="14" customFormat="1" ht="15" customHeight="1" x14ac:dyDescent="0.2">
      <c r="A32" s="13" t="s">
        <v>169</v>
      </c>
      <c r="B32" s="10" t="s">
        <v>170</v>
      </c>
      <c r="C32" s="16"/>
      <c r="D32" s="23">
        <f ca="1">+Matriz!L34</f>
        <v>0</v>
      </c>
      <c r="E32" s="23">
        <f ca="1">+Matriz!M34</f>
        <v>0</v>
      </c>
      <c r="F32" s="23">
        <f ca="1">+Matriz!N34</f>
        <v>0</v>
      </c>
    </row>
    <row r="33" spans="1:10" s="14" customFormat="1" ht="15" customHeight="1" x14ac:dyDescent="0.2">
      <c r="A33" s="13" t="s">
        <v>88</v>
      </c>
      <c r="B33" s="10" t="s">
        <v>89</v>
      </c>
      <c r="C33" s="16"/>
      <c r="D33" s="23">
        <f ca="1">+Matriz!L35</f>
        <v>11267523</v>
      </c>
      <c r="E33" s="23">
        <f ca="1">+Matriz!M35</f>
        <v>10193875</v>
      </c>
      <c r="F33" s="23">
        <f ca="1">+Matriz!N35</f>
        <v>9590734</v>
      </c>
    </row>
    <row r="34" spans="1:10" s="14" customFormat="1" ht="15" customHeight="1" x14ac:dyDescent="0.2">
      <c r="A34" s="13" t="s">
        <v>90</v>
      </c>
      <c r="B34" s="10" t="s">
        <v>91</v>
      </c>
      <c r="C34" s="16"/>
      <c r="D34" s="23">
        <f ca="1">+Matriz!L36</f>
        <v>0</v>
      </c>
      <c r="E34" s="23">
        <f ca="1">+Matriz!M36</f>
        <v>0</v>
      </c>
      <c r="F34" s="23">
        <f ca="1">+Matriz!N36</f>
        <v>0</v>
      </c>
    </row>
    <row r="35" spans="1:10" s="14" customFormat="1" ht="15" customHeight="1" x14ac:dyDescent="0.2">
      <c r="A35" s="13" t="s">
        <v>92</v>
      </c>
      <c r="B35" s="10" t="s">
        <v>93</v>
      </c>
      <c r="C35" s="16"/>
      <c r="D35" s="25">
        <f ca="1">+Matriz!L37</f>
        <v>1191578</v>
      </c>
      <c r="E35" s="25">
        <f ca="1">+Matriz!M37</f>
        <v>1197295</v>
      </c>
      <c r="F35" s="25">
        <f ca="1">+Matriz!N37</f>
        <v>200000</v>
      </c>
    </row>
    <row r="36" spans="1:10" s="14" customFormat="1" ht="15" customHeight="1" x14ac:dyDescent="0.2">
      <c r="A36" s="13"/>
      <c r="B36" s="17" t="s">
        <v>172</v>
      </c>
      <c r="C36" s="16"/>
      <c r="D36" s="28">
        <f ca="1">SUM(D30:D35)</f>
        <v>14180342</v>
      </c>
      <c r="E36" s="28">
        <f t="shared" ref="E36:F36" ca="1" si="2">SUM(E30:E35)</f>
        <v>12411962</v>
      </c>
      <c r="F36" s="28">
        <f t="shared" ca="1" si="2"/>
        <v>13748734</v>
      </c>
    </row>
    <row r="37" spans="1:10" s="14" customFormat="1" ht="15" customHeight="1" x14ac:dyDescent="0.2">
      <c r="A37" s="13"/>
      <c r="B37" s="13"/>
      <c r="C37" s="16"/>
      <c r="D37" s="16"/>
      <c r="E37" s="16"/>
      <c r="F37" s="16"/>
    </row>
    <row r="38" spans="1:10" s="14" customFormat="1" ht="15" customHeight="1" x14ac:dyDescent="0.2">
      <c r="A38" s="13" t="s">
        <v>181</v>
      </c>
      <c r="B38" s="10" t="s">
        <v>171</v>
      </c>
      <c r="C38" s="16"/>
      <c r="D38" s="25">
        <f ca="1">+Matriz!L40</f>
        <v>716979</v>
      </c>
      <c r="E38" s="25">
        <f ca="1">+Matriz!M40</f>
        <v>1368778</v>
      </c>
      <c r="F38" s="25">
        <f ca="1">+Matriz!N40</f>
        <v>1961323</v>
      </c>
    </row>
    <row r="39" spans="1:10" s="14" customFormat="1" ht="15" customHeight="1" x14ac:dyDescent="0.2">
      <c r="A39" s="13"/>
      <c r="B39" s="17" t="s">
        <v>94</v>
      </c>
      <c r="C39" s="16"/>
      <c r="D39" s="28">
        <f t="shared" ref="D39:F39" ca="1" si="3">SUM(D36:D38)</f>
        <v>14897321</v>
      </c>
      <c r="E39" s="28">
        <f t="shared" ca="1" si="3"/>
        <v>13780740</v>
      </c>
      <c r="F39" s="28">
        <f t="shared" ca="1" si="3"/>
        <v>15710057</v>
      </c>
    </row>
    <row r="40" spans="1:10" s="14" customFormat="1" ht="15" customHeight="1" x14ac:dyDescent="0.2">
      <c r="A40" s="13"/>
      <c r="B40" s="13"/>
      <c r="C40" s="16"/>
      <c r="D40" s="16"/>
      <c r="E40" s="16"/>
      <c r="F40" s="16"/>
    </row>
    <row r="41" spans="1:10" s="14" customFormat="1" ht="15" customHeight="1" x14ac:dyDescent="0.2">
      <c r="A41" s="13"/>
      <c r="B41" s="17" t="s">
        <v>95</v>
      </c>
      <c r="C41" s="16"/>
      <c r="D41" s="16"/>
      <c r="E41" s="16"/>
      <c r="F41" s="16"/>
    </row>
    <row r="42" spans="1:10" s="14" customFormat="1" ht="15" customHeight="1" x14ac:dyDescent="0.2">
      <c r="A42" s="13" t="s">
        <v>96</v>
      </c>
      <c r="B42" s="10" t="s">
        <v>97</v>
      </c>
      <c r="C42" s="16"/>
      <c r="D42" s="23">
        <f ca="1">+Matriz!L45</f>
        <v>24956792</v>
      </c>
      <c r="E42" s="23">
        <f ca="1">+Matriz!M45</f>
        <v>24956792</v>
      </c>
      <c r="F42" s="23">
        <f ca="1">+Matriz!N45</f>
        <v>24956792</v>
      </c>
    </row>
    <row r="43" spans="1:10" s="14" customFormat="1" ht="15" customHeight="1" x14ac:dyDescent="0.2">
      <c r="A43" s="13" t="s">
        <v>98</v>
      </c>
      <c r="B43" s="10" t="s">
        <v>99</v>
      </c>
      <c r="C43" s="16"/>
      <c r="D43" s="23">
        <f ca="1">+Matriz!L46+Matriz!L48</f>
        <v>91080169</v>
      </c>
      <c r="E43" s="23">
        <f ca="1">+Matriz!M46+Matriz!M48</f>
        <v>80057785</v>
      </c>
      <c r="F43" s="23">
        <f ca="1">+Matriz!N46+Matriz!N48</f>
        <v>69051027</v>
      </c>
    </row>
    <row r="44" spans="1:10" s="14" customFormat="1" ht="15" customHeight="1" x14ac:dyDescent="0.2">
      <c r="A44" s="13" t="s">
        <v>145</v>
      </c>
      <c r="B44" s="10" t="s">
        <v>144</v>
      </c>
      <c r="C44" s="16"/>
      <c r="D44" s="23">
        <f ca="1">+Matriz!L47</f>
        <v>0</v>
      </c>
      <c r="E44" s="23">
        <f ca="1">+Matriz!M47</f>
        <v>0</v>
      </c>
      <c r="F44" s="23">
        <f ca="1">+Matriz!N47</f>
        <v>0</v>
      </c>
    </row>
    <row r="45" spans="1:10" s="14" customFormat="1" ht="15" customHeight="1" x14ac:dyDescent="0.2">
      <c r="A45" s="13"/>
      <c r="B45" s="17" t="s">
        <v>101</v>
      </c>
      <c r="C45" s="16"/>
      <c r="D45" s="28">
        <f ca="1">SUM(D42:D44)</f>
        <v>116036961</v>
      </c>
      <c r="E45" s="28">
        <f ca="1">SUM(E42:E44)</f>
        <v>105014577</v>
      </c>
      <c r="F45" s="28">
        <f ca="1">SUM(F42:F44)</f>
        <v>94007819</v>
      </c>
    </row>
    <row r="46" spans="1:10" s="14" customFormat="1" ht="15" customHeight="1" thickBot="1" x14ac:dyDescent="0.25">
      <c r="A46" s="13"/>
      <c r="B46" s="17" t="s">
        <v>102</v>
      </c>
      <c r="C46" s="16"/>
      <c r="D46" s="29">
        <f ca="1">+D45+D39</f>
        <v>130934282</v>
      </c>
      <c r="E46" s="29">
        <f ca="1">+E45+E39</f>
        <v>118795317</v>
      </c>
      <c r="F46" s="29">
        <f ca="1">+F45+F39</f>
        <v>109717876</v>
      </c>
      <c r="H46" s="191">
        <f ca="1">+D26-D46</f>
        <v>0</v>
      </c>
      <c r="I46" s="191">
        <f ca="1">+E26-E46</f>
        <v>0</v>
      </c>
      <c r="J46" s="191">
        <f ca="1">+F26-F46</f>
        <v>0</v>
      </c>
    </row>
    <row r="47" spans="1:10" s="14" customFormat="1" ht="15" customHeight="1" x14ac:dyDescent="0.2"/>
    <row r="48" spans="1:10" s="14" customFormat="1" ht="15" customHeight="1" x14ac:dyDescent="0.2">
      <c r="A48" s="95" t="s">
        <v>272</v>
      </c>
      <c r="B48" s="96"/>
      <c r="C48" s="96"/>
      <c r="D48" s="96"/>
      <c r="E48" s="96"/>
    </row>
    <row r="49" spans="1:5" s="14" customFormat="1" ht="15" customHeight="1" x14ac:dyDescent="0.2">
      <c r="A49" s="95" t="s">
        <v>268</v>
      </c>
      <c r="B49" s="96"/>
      <c r="C49" s="96"/>
      <c r="D49" s="96"/>
      <c r="E49" s="96"/>
    </row>
    <row r="50" spans="1:5" s="14" customFormat="1" ht="15" customHeight="1" x14ac:dyDescent="0.2">
      <c r="A50" s="13"/>
      <c r="B50" s="13"/>
      <c r="C50" s="16"/>
      <c r="D50" s="20">
        <v>2025</v>
      </c>
      <c r="E50" s="20">
        <v>2024</v>
      </c>
    </row>
    <row r="51" spans="1:5" s="14" customFormat="1" ht="15" customHeight="1" x14ac:dyDescent="0.2">
      <c r="A51" s="13"/>
      <c r="B51" s="13"/>
      <c r="C51" s="16"/>
      <c r="D51" s="21" t="s">
        <v>54</v>
      </c>
      <c r="E51" s="21" t="s">
        <v>54</v>
      </c>
    </row>
    <row r="52" spans="1:5" s="14" customFormat="1" ht="15" customHeight="1" x14ac:dyDescent="0.2">
      <c r="A52" s="13" t="s">
        <v>103</v>
      </c>
      <c r="B52" s="10" t="s">
        <v>132</v>
      </c>
      <c r="C52" s="16"/>
      <c r="D52" s="22">
        <f ca="1">+Matriz!L60</f>
        <v>86348845</v>
      </c>
      <c r="E52" s="22">
        <f ca="1">+Matriz!M60</f>
        <v>77738972</v>
      </c>
    </row>
    <row r="53" spans="1:5" s="14" customFormat="1" ht="15" customHeight="1" x14ac:dyDescent="0.2">
      <c r="A53" s="13" t="s">
        <v>165</v>
      </c>
      <c r="B53" s="10" t="s">
        <v>200</v>
      </c>
      <c r="C53" s="16"/>
      <c r="D53" s="22">
        <f ca="1">+Matriz!L61</f>
        <v>0</v>
      </c>
      <c r="E53" s="22">
        <f ca="1">+Matriz!M61</f>
        <v>0</v>
      </c>
    </row>
    <row r="54" spans="1:5" s="14" customFormat="1" ht="15" customHeight="1" x14ac:dyDescent="0.2">
      <c r="A54" s="13" t="s">
        <v>104</v>
      </c>
      <c r="B54" s="10" t="s">
        <v>167</v>
      </c>
      <c r="C54" s="16"/>
      <c r="D54" s="22">
        <f ca="1">+Matriz!L62</f>
        <v>-35474624</v>
      </c>
      <c r="E54" s="22">
        <f ca="1">+Matriz!M62</f>
        <v>-32805063</v>
      </c>
    </row>
    <row r="55" spans="1:5" s="14" customFormat="1" ht="15" customHeight="1" x14ac:dyDescent="0.2">
      <c r="A55" s="13"/>
      <c r="B55" s="192" t="s">
        <v>105</v>
      </c>
      <c r="C55" s="193"/>
      <c r="D55" s="194">
        <f t="shared" ref="D55:E55" ca="1" si="4">SUM(D52:D54)</f>
        <v>50874221</v>
      </c>
      <c r="E55" s="194">
        <f t="shared" ca="1" si="4"/>
        <v>44933909</v>
      </c>
    </row>
    <row r="56" spans="1:5" s="14" customFormat="1" ht="15" customHeight="1" x14ac:dyDescent="0.2">
      <c r="A56" s="13"/>
      <c r="B56" s="13"/>
      <c r="C56" s="16"/>
      <c r="D56" s="16"/>
      <c r="E56" s="16"/>
    </row>
    <row r="57" spans="1:5" s="14" customFormat="1" ht="15" customHeight="1" x14ac:dyDescent="0.2">
      <c r="A57" s="13" t="s">
        <v>106</v>
      </c>
      <c r="B57" s="10" t="s">
        <v>107</v>
      </c>
      <c r="C57" s="16"/>
      <c r="D57" s="22">
        <f ca="1">+Matriz!L65</f>
        <v>-10604338</v>
      </c>
      <c r="E57" s="22">
        <f ca="1">+Matriz!M65</f>
        <v>-10421188</v>
      </c>
    </row>
    <row r="58" spans="1:5" s="14" customFormat="1" ht="15" customHeight="1" x14ac:dyDescent="0.2">
      <c r="A58" s="13" t="s">
        <v>108</v>
      </c>
      <c r="B58" s="10" t="s">
        <v>109</v>
      </c>
      <c r="C58" s="16"/>
      <c r="D58" s="22">
        <f ca="1">+Matriz!L66</f>
        <v>-11749370</v>
      </c>
      <c r="E58" s="22">
        <f ca="1">+Matriz!M66</f>
        <v>-9167285</v>
      </c>
    </row>
    <row r="59" spans="1:5" s="14" customFormat="1" ht="15" customHeight="1" x14ac:dyDescent="0.2">
      <c r="A59" s="13" t="s">
        <v>110</v>
      </c>
      <c r="B59" s="10" t="s">
        <v>111</v>
      </c>
      <c r="C59" s="16"/>
      <c r="D59" s="22">
        <f ca="1">+Matriz!L67</f>
        <v>51495</v>
      </c>
      <c r="E59" s="22">
        <f ca="1">+Matriz!M67</f>
        <v>116418</v>
      </c>
    </row>
    <row r="60" spans="1:5" s="14" customFormat="1" ht="15" customHeight="1" x14ac:dyDescent="0.2">
      <c r="A60" s="13"/>
      <c r="B60" s="192" t="s">
        <v>112</v>
      </c>
      <c r="C60" s="193"/>
      <c r="D60" s="194">
        <f t="shared" ref="D60:E60" ca="1" si="5">SUM(D55:D59)</f>
        <v>28572008</v>
      </c>
      <c r="E60" s="194">
        <f t="shared" ca="1" si="5"/>
        <v>25461854</v>
      </c>
    </row>
    <row r="61" spans="1:5" s="14" customFormat="1" ht="15" customHeight="1" x14ac:dyDescent="0.2">
      <c r="A61" s="13"/>
      <c r="B61" s="13"/>
      <c r="C61" s="16"/>
      <c r="D61" s="16"/>
      <c r="E61" s="16"/>
    </row>
    <row r="62" spans="1:5" s="14" customFormat="1" ht="15" customHeight="1" x14ac:dyDescent="0.2">
      <c r="A62" s="13"/>
      <c r="B62" s="10"/>
      <c r="C62" s="16"/>
      <c r="D62" s="22"/>
      <c r="E62" s="22"/>
    </row>
    <row r="63" spans="1:5" s="14" customFormat="1" ht="15" customHeight="1" x14ac:dyDescent="0.2">
      <c r="A63" s="13" t="s">
        <v>113</v>
      </c>
      <c r="B63" s="10" t="s">
        <v>114</v>
      </c>
      <c r="C63" s="16"/>
      <c r="D63" s="22">
        <f ca="1">+Matriz!L71</f>
        <v>2238531</v>
      </c>
      <c r="E63" s="22">
        <f ca="1">+Matriz!M71</f>
        <v>1221201</v>
      </c>
    </row>
    <row r="64" spans="1:5" s="14" customFormat="1" ht="15" customHeight="1" x14ac:dyDescent="0.2">
      <c r="A64" s="13" t="s">
        <v>115</v>
      </c>
      <c r="B64" s="10" t="s">
        <v>164</v>
      </c>
      <c r="C64" s="16"/>
      <c r="D64" s="22">
        <f ca="1">+Matriz!L72</f>
        <v>-3906621</v>
      </c>
      <c r="E64" s="22">
        <f ca="1">+Matriz!M72</f>
        <v>-3112318</v>
      </c>
    </row>
    <row r="65" spans="1:9" s="14" customFormat="1" ht="15" customHeight="1" x14ac:dyDescent="0.2">
      <c r="A65" s="13" t="s">
        <v>210</v>
      </c>
      <c r="B65" s="10" t="s">
        <v>166</v>
      </c>
      <c r="C65" s="16"/>
      <c r="D65" s="22">
        <f ca="1">+Matriz!L73</f>
        <v>0</v>
      </c>
      <c r="E65" s="22">
        <f ca="1">+Matriz!M73</f>
        <v>0</v>
      </c>
    </row>
    <row r="66" spans="1:9" s="14" customFormat="1" ht="15" customHeight="1" x14ac:dyDescent="0.2">
      <c r="A66" s="13" t="s">
        <v>116</v>
      </c>
      <c r="B66" s="192" t="s">
        <v>117</v>
      </c>
      <c r="C66" s="193"/>
      <c r="D66" s="194">
        <f t="shared" ref="D66:E66" ca="1" si="6">SUM(D60:D65)</f>
        <v>26903918</v>
      </c>
      <c r="E66" s="194">
        <f t="shared" ca="1" si="6"/>
        <v>23570737</v>
      </c>
    </row>
    <row r="67" spans="1:9" s="14" customFormat="1" ht="15" customHeight="1" x14ac:dyDescent="0.2">
      <c r="A67" s="13"/>
      <c r="B67" s="10" t="s">
        <v>158</v>
      </c>
      <c r="C67" s="16"/>
      <c r="D67" s="22">
        <f ca="1">+Matriz!L75</f>
        <v>-3600000</v>
      </c>
      <c r="E67" s="22">
        <f ca="1">+Matriz!M75</f>
        <v>-3400000</v>
      </c>
    </row>
    <row r="68" spans="1:9" s="14" customFormat="1" ht="15" customHeight="1" x14ac:dyDescent="0.2">
      <c r="A68" s="13" t="s">
        <v>157</v>
      </c>
      <c r="B68" s="10" t="s">
        <v>119</v>
      </c>
      <c r="C68" s="16"/>
      <c r="D68" s="22">
        <f ca="1">+Matriz!L76</f>
        <v>-11096575</v>
      </c>
      <c r="E68" s="22">
        <f ca="1">+Matriz!M76</f>
        <v>-9495889</v>
      </c>
    </row>
    <row r="69" spans="1:9" s="14" customFormat="1" ht="15" customHeight="1" thickBot="1" x14ac:dyDescent="0.25">
      <c r="A69" s="13"/>
      <c r="B69" s="17" t="s">
        <v>120</v>
      </c>
      <c r="C69" s="16"/>
      <c r="D69" s="30">
        <f ca="1">SUM(D66:D68)</f>
        <v>12207343</v>
      </c>
      <c r="E69" s="30">
        <f ca="1">SUM(E66:E68)</f>
        <v>10674848</v>
      </c>
      <c r="H69" s="191">
        <f ca="1">+D69-Matriz!L77</f>
        <v>0</v>
      </c>
      <c r="I69" s="191">
        <f ca="1">+E69-Matriz!M77</f>
        <v>0</v>
      </c>
    </row>
    <row r="70" spans="1:9" ht="15" customHeight="1" x14ac:dyDescent="0.25">
      <c r="A70" s="13"/>
      <c r="B70" s="13"/>
      <c r="C70" s="13"/>
      <c r="D70" s="13"/>
      <c r="E70" s="13"/>
    </row>
  </sheetData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7"/>
  <sheetViews>
    <sheetView zoomScale="110" zoomScaleNormal="11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H9" sqref="H9"/>
    </sheetView>
  </sheetViews>
  <sheetFormatPr baseColWidth="10" defaultRowHeight="15" x14ac:dyDescent="0.25"/>
  <cols>
    <col min="9" max="9" width="4.85546875" customWidth="1"/>
    <col min="10" max="10" width="13.7109375" bestFit="1" customWidth="1"/>
  </cols>
  <sheetData>
    <row r="1" spans="1:14" x14ac:dyDescent="0.25">
      <c r="D1" s="1" t="s">
        <v>322</v>
      </c>
      <c r="E1" s="1"/>
      <c r="F1" s="1" t="s">
        <v>321</v>
      </c>
      <c r="G1" s="1"/>
      <c r="H1" s="1" t="s">
        <v>320</v>
      </c>
      <c r="K1" s="1" t="s">
        <v>327</v>
      </c>
      <c r="L1" s="1" t="s">
        <v>328</v>
      </c>
      <c r="M1" s="1" t="s">
        <v>295</v>
      </c>
    </row>
    <row r="2" spans="1:14" x14ac:dyDescent="0.25">
      <c r="A2" s="1" t="s">
        <v>323</v>
      </c>
      <c r="B2" s="1">
        <v>10</v>
      </c>
      <c r="C2" s="1" t="s">
        <v>324</v>
      </c>
      <c r="J2" s="1" t="s">
        <v>329</v>
      </c>
      <c r="K2" s="59">
        <v>900000</v>
      </c>
      <c r="L2" s="59">
        <v>300000</v>
      </c>
      <c r="M2" s="59">
        <f>+K2+L2</f>
        <v>1200000</v>
      </c>
      <c r="N2">
        <v>2014</v>
      </c>
    </row>
    <row r="3" spans="1:14" x14ac:dyDescent="0.25">
      <c r="A3" t="s">
        <v>282</v>
      </c>
      <c r="D3" s="56">
        <v>1000000</v>
      </c>
      <c r="F3" s="56">
        <v>1000000</v>
      </c>
      <c r="H3" s="56">
        <v>1000000</v>
      </c>
      <c r="J3" t="s">
        <v>330</v>
      </c>
      <c r="K3">
        <v>0</v>
      </c>
      <c r="L3" s="56">
        <v>400000</v>
      </c>
      <c r="M3" s="56">
        <f>+K3+L3</f>
        <v>400000</v>
      </c>
      <c r="N3">
        <v>2014</v>
      </c>
    </row>
    <row r="4" spans="1:14" x14ac:dyDescent="0.25">
      <c r="A4" t="s">
        <v>283</v>
      </c>
      <c r="D4" s="56">
        <f>-D3*10%*3</f>
        <v>-300000</v>
      </c>
      <c r="E4" s="59">
        <f>+F4-D4</f>
        <v>-100000</v>
      </c>
      <c r="F4" s="56">
        <f>-F3*10%*4</f>
        <v>-400000</v>
      </c>
      <c r="G4" s="59">
        <f>+H4-F4</f>
        <v>-100000</v>
      </c>
      <c r="H4" s="56">
        <f>-H3*10%*5</f>
        <v>-500000</v>
      </c>
      <c r="J4" s="1" t="s">
        <v>332</v>
      </c>
      <c r="K4" s="59">
        <f t="shared" ref="K4" si="0">SUM(K2:K3)</f>
        <v>900000</v>
      </c>
      <c r="L4" s="59">
        <f>SUM(L2:L3)</f>
        <v>700000</v>
      </c>
      <c r="M4" s="59">
        <f t="shared" ref="M4" si="1">SUM(M2:M3)</f>
        <v>1600000</v>
      </c>
      <c r="N4">
        <v>2014</v>
      </c>
    </row>
    <row r="5" spans="1:14" s="1" customFormat="1" x14ac:dyDescent="0.25">
      <c r="A5" s="1" t="s">
        <v>286</v>
      </c>
      <c r="D5" s="59">
        <f>+D3+D4</f>
        <v>700000</v>
      </c>
      <c r="F5" s="59">
        <f>+F3+F4</f>
        <v>600000</v>
      </c>
      <c r="H5" s="59">
        <f>+H3+H4</f>
        <v>500000</v>
      </c>
      <c r="J5" t="s">
        <v>331</v>
      </c>
      <c r="K5">
        <v>0</v>
      </c>
      <c r="L5" s="56">
        <v>700000</v>
      </c>
      <c r="M5" s="56">
        <f>+K5+L5</f>
        <v>700000</v>
      </c>
      <c r="N5">
        <v>2015</v>
      </c>
    </row>
    <row r="6" spans="1:14" x14ac:dyDescent="0.25">
      <c r="J6" t="s">
        <v>333</v>
      </c>
      <c r="K6">
        <v>0</v>
      </c>
      <c r="L6" s="56">
        <f>+-G17</f>
        <v>175000</v>
      </c>
      <c r="M6" s="56">
        <f>+K6+L6</f>
        <v>175000</v>
      </c>
      <c r="N6">
        <v>2015</v>
      </c>
    </row>
    <row r="7" spans="1:14" x14ac:dyDescent="0.25">
      <c r="A7" s="1" t="s">
        <v>50</v>
      </c>
      <c r="B7" s="1">
        <v>8</v>
      </c>
      <c r="C7" s="1" t="s">
        <v>324</v>
      </c>
      <c r="J7" s="1" t="s">
        <v>332</v>
      </c>
      <c r="K7" s="59">
        <f>+K4+K5+K6</f>
        <v>900000</v>
      </c>
      <c r="L7" s="59">
        <f t="shared" ref="L7:M7" si="2">+L4+L5+L6</f>
        <v>1575000</v>
      </c>
      <c r="M7" s="59">
        <f t="shared" si="2"/>
        <v>2475000</v>
      </c>
      <c r="N7">
        <v>2015</v>
      </c>
    </row>
    <row r="8" spans="1:14" x14ac:dyDescent="0.25">
      <c r="A8" t="s">
        <v>282</v>
      </c>
      <c r="D8" s="56">
        <v>900000</v>
      </c>
      <c r="F8" s="56">
        <f>+D8</f>
        <v>900000</v>
      </c>
      <c r="H8" s="56">
        <v>1000000</v>
      </c>
    </row>
    <row r="9" spans="1:14" x14ac:dyDescent="0.25">
      <c r="A9" t="s">
        <v>283</v>
      </c>
      <c r="D9" s="56">
        <f>+-D8/8</f>
        <v>-112500</v>
      </c>
      <c r="E9" s="59">
        <f>+F9-D9</f>
        <v>-112500</v>
      </c>
      <c r="F9" s="56">
        <f>-(F8/8)*2</f>
        <v>-225000</v>
      </c>
      <c r="G9" s="59">
        <f>+H9-F9</f>
        <v>-150000</v>
      </c>
      <c r="H9" s="56">
        <f>-(H8/8)*3</f>
        <v>-375000</v>
      </c>
      <c r="K9" s="1" t="s">
        <v>327</v>
      </c>
      <c r="L9" s="1" t="s">
        <v>328</v>
      </c>
      <c r="M9" s="1" t="s">
        <v>295</v>
      </c>
    </row>
    <row r="10" spans="1:14" s="1" customFormat="1" x14ac:dyDescent="0.25">
      <c r="A10" s="1" t="s">
        <v>286</v>
      </c>
      <c r="D10" s="59">
        <f>+D8+D9</f>
        <v>787500</v>
      </c>
      <c r="F10" s="59">
        <f>+F8+F9</f>
        <v>675000</v>
      </c>
      <c r="H10" s="59">
        <f>+H8+H9</f>
        <v>625000</v>
      </c>
      <c r="J10" s="1" t="s">
        <v>329</v>
      </c>
      <c r="K10" s="59">
        <v>900000</v>
      </c>
      <c r="L10" s="59">
        <f>+L2-C17</f>
        <v>487500</v>
      </c>
      <c r="M10" s="59">
        <f>+K10+L10</f>
        <v>1387500</v>
      </c>
      <c r="N10"/>
    </row>
    <row r="11" spans="1:14" x14ac:dyDescent="0.25">
      <c r="J11" t="s">
        <v>330</v>
      </c>
      <c r="K11">
        <v>0</v>
      </c>
      <c r="L11" s="56">
        <f>+L3-E16</f>
        <v>387500</v>
      </c>
      <c r="M11" s="56">
        <f>+K11+L11</f>
        <v>387500</v>
      </c>
    </row>
    <row r="12" spans="1:14" x14ac:dyDescent="0.25">
      <c r="A12" s="1" t="s">
        <v>288</v>
      </c>
      <c r="D12" s="59">
        <f>+D5-D10</f>
        <v>-87500</v>
      </c>
      <c r="F12" s="59">
        <f>+F5-F10</f>
        <v>-75000</v>
      </c>
      <c r="H12" s="59">
        <f>+H5-H10</f>
        <v>-125000</v>
      </c>
      <c r="J12" s="1" t="s">
        <v>332</v>
      </c>
      <c r="K12" s="59">
        <f t="shared" ref="K12:L12" si="3">+K10+K11</f>
        <v>900000</v>
      </c>
      <c r="L12" s="59">
        <f t="shared" si="3"/>
        <v>875000</v>
      </c>
      <c r="M12" s="59">
        <f>+M10+M11</f>
        <v>1775000</v>
      </c>
    </row>
    <row r="13" spans="1:14" x14ac:dyDescent="0.25">
      <c r="J13" t="s">
        <v>331</v>
      </c>
      <c r="K13">
        <v>0</v>
      </c>
      <c r="L13" s="56">
        <v>700000</v>
      </c>
      <c r="M13" s="56">
        <f>+K13+L13</f>
        <v>700000</v>
      </c>
    </row>
    <row r="14" spans="1:14" x14ac:dyDescent="0.25">
      <c r="C14" s="72" t="s">
        <v>57</v>
      </c>
      <c r="D14" s="72" t="s">
        <v>58</v>
      </c>
      <c r="E14" s="75" t="s">
        <v>57</v>
      </c>
      <c r="F14" s="75" t="s">
        <v>58</v>
      </c>
      <c r="G14" s="67" t="s">
        <v>57</v>
      </c>
      <c r="H14" s="67" t="s">
        <v>58</v>
      </c>
      <c r="J14" t="s">
        <v>333</v>
      </c>
      <c r="K14">
        <v>0</v>
      </c>
      <c r="L14" s="56">
        <f>+G25</f>
        <v>0</v>
      </c>
      <c r="M14" s="56">
        <f>+K14+L14</f>
        <v>0</v>
      </c>
    </row>
    <row r="15" spans="1:14" x14ac:dyDescent="0.25">
      <c r="A15" s="1" t="s">
        <v>289</v>
      </c>
      <c r="C15" s="73"/>
      <c r="D15" s="70">
        <f>-D9+D4</f>
        <v>-187500</v>
      </c>
      <c r="E15" s="76"/>
      <c r="F15" s="77">
        <f>-F9+F4</f>
        <v>-175000</v>
      </c>
      <c r="G15" s="68"/>
      <c r="H15" s="69">
        <f>-(H9-H4)</f>
        <v>-125000</v>
      </c>
      <c r="J15" s="1" t="s">
        <v>332</v>
      </c>
      <c r="K15" s="59">
        <f>+K12+K13+K14</f>
        <v>900000</v>
      </c>
      <c r="L15" s="59">
        <f t="shared" ref="L15:M15" si="4">+L12+L13+L14</f>
        <v>1575000</v>
      </c>
      <c r="M15" s="59">
        <f t="shared" si="4"/>
        <v>2475000</v>
      </c>
    </row>
    <row r="16" spans="1:14" x14ac:dyDescent="0.25">
      <c r="A16" s="1" t="s">
        <v>325</v>
      </c>
      <c r="C16" s="73">
        <v>0</v>
      </c>
      <c r="D16" s="73"/>
      <c r="E16" s="78">
        <f>-E9+E4</f>
        <v>12500</v>
      </c>
      <c r="F16" s="76"/>
      <c r="G16" s="69">
        <f>-G9+G4</f>
        <v>50000</v>
      </c>
      <c r="H16" s="68"/>
    </row>
    <row r="17" spans="1:8" x14ac:dyDescent="0.25">
      <c r="A17" s="1" t="s">
        <v>326</v>
      </c>
      <c r="C17" s="74">
        <f>+D15</f>
        <v>-187500</v>
      </c>
      <c r="D17" s="72"/>
      <c r="E17" s="78">
        <f>+F15-E16</f>
        <v>-187500</v>
      </c>
      <c r="F17" s="76"/>
      <c r="G17" s="71">
        <f>+H15-G16</f>
        <v>-175000</v>
      </c>
      <c r="H17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Diagnóstico (2)</vt:lpstr>
      <vt:lpstr>Diagnóstico</vt:lpstr>
      <vt:lpstr>Matriz</vt:lpstr>
      <vt:lpstr>Asientos-1</vt:lpstr>
      <vt:lpstr>Reconciliación 1</vt:lpstr>
      <vt:lpstr>Reconciliación 2</vt:lpstr>
      <vt:lpstr>Reconciliación 3</vt:lpstr>
      <vt:lpstr>EEFF en NIIF</vt:lpstr>
      <vt:lpstr>TECNICA DE ADECUACION (2)</vt:lpstr>
      <vt:lpstr>TECNICA DE ADECUACION</vt:lpstr>
      <vt:lpstr>Hoja3</vt:lpstr>
      <vt:lpstr>Hoja2</vt:lpstr>
      <vt:lpstr>Hoja5</vt:lpstr>
      <vt:lpstr>Hoja8</vt:lpstr>
      <vt:lpstr>Hoja9</vt:lpstr>
      <vt:lpstr>Hoja4</vt:lpstr>
      <vt:lpstr>Hoja1</vt:lpstr>
      <vt:lpstr>'Asientos-1'!Área_de_impresión</vt:lpstr>
      <vt:lpstr>Diagnóstico!Área_de_impresión</vt:lpstr>
      <vt:lpstr>'Diagnóstico (2)'!Área_de_impresión</vt:lpstr>
      <vt:lpstr>'EEFF en NIIF'!Área_de_impresión</vt:lpstr>
      <vt:lpstr>Matriz!Área_de_impresión</vt:lpstr>
      <vt:lpstr>'Reconciliación 1'!Área_de_impresión</vt:lpstr>
      <vt:lpstr>'Reconciliación 2'!Área_de_impresión</vt:lpstr>
      <vt:lpstr>'Reconciliación 3'!Área_de_impresión</vt:lpstr>
      <vt:lpstr>'Asientos-1'!Títulos_a_imprimir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llanto</dc:creator>
  <cp:lastModifiedBy>Freddy Llanto</cp:lastModifiedBy>
  <cp:lastPrinted>2015-10-27T17:09:35Z</cp:lastPrinted>
  <dcterms:created xsi:type="dcterms:W3CDTF">2015-07-26T02:17:13Z</dcterms:created>
  <dcterms:modified xsi:type="dcterms:W3CDTF">2025-07-17T15:41:31Z</dcterms:modified>
</cp:coreProperties>
</file>