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ownloads\"/>
    </mc:Choice>
  </mc:AlternateContent>
  <xr:revisionPtr revIDLastSave="0" documentId="13_ncr:1_{10ED48C6-59F7-49BE-AD52-B6154F772AD5}" xr6:coauthVersionLast="47" xr6:coauthVersionMax="47" xr10:uidLastSave="{00000000-0000-0000-0000-000000000000}"/>
  <bookViews>
    <workbookView xWindow="-120" yWindow="-120" windowWidth="29040" windowHeight="15720" xr2:uid="{22ACE7A5-D3A4-410A-91F9-5712606B8CF2}"/>
  </bookViews>
  <sheets>
    <sheet name="Hoja1" sheetId="1" r:id="rId1"/>
    <sheet name="Hoja1 (2)" sheetId="3" r:id="rId2"/>
    <sheet name="Hoja1 (3)" sheetId="4" r:id="rId3"/>
    <sheet name="Hoja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6" i="4" l="1"/>
  <c r="AD16" i="4"/>
  <c r="AC16" i="4"/>
  <c r="AB16" i="4"/>
  <c r="AG3" i="4"/>
  <c r="AB13" i="1"/>
  <c r="AC13" i="1"/>
  <c r="AD13" i="1"/>
  <c r="AE13" i="1"/>
  <c r="AF13" i="1"/>
  <c r="AP31" i="1"/>
  <c r="AO31" i="1"/>
  <c r="AN31" i="1"/>
  <c r="AM31" i="1"/>
  <c r="AL31" i="1"/>
  <c r="AP30" i="1"/>
  <c r="AO30" i="1"/>
  <c r="AN30" i="1"/>
  <c r="AM30" i="1"/>
  <c r="AL30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B10" i="1"/>
  <c r="AA25" i="4"/>
  <c r="AB25" i="4" s="1"/>
  <c r="AC25" i="4" s="1"/>
  <c r="AD25" i="4" s="1"/>
  <c r="AE25" i="4" s="1"/>
  <c r="J5" i="4"/>
  <c r="J6" i="4"/>
  <c r="J7" i="4"/>
  <c r="J8" i="4"/>
  <c r="J9" i="4"/>
  <c r="J10" i="4"/>
  <c r="J11" i="4"/>
  <c r="J12" i="4"/>
  <c r="J13" i="4"/>
  <c r="J14" i="4"/>
  <c r="J15" i="4"/>
  <c r="J4" i="4"/>
  <c r="F20" i="4"/>
  <c r="F32" i="4" s="1"/>
  <c r="F44" i="4" s="1"/>
  <c r="F56" i="4" s="1"/>
  <c r="J56" i="4" s="1"/>
  <c r="F21" i="4"/>
  <c r="F33" i="4" s="1"/>
  <c r="F45" i="4" s="1"/>
  <c r="F57" i="4" s="1"/>
  <c r="J57" i="4" s="1"/>
  <c r="F22" i="4"/>
  <c r="F34" i="4" s="1"/>
  <c r="F46" i="4" s="1"/>
  <c r="F58" i="4" s="1"/>
  <c r="J58" i="4" s="1"/>
  <c r="F23" i="4"/>
  <c r="F35" i="4" s="1"/>
  <c r="F47" i="4" s="1"/>
  <c r="F59" i="4" s="1"/>
  <c r="J59" i="4" s="1"/>
  <c r="F24" i="4"/>
  <c r="F36" i="4" s="1"/>
  <c r="F48" i="4" s="1"/>
  <c r="F60" i="4" s="1"/>
  <c r="J60" i="4" s="1"/>
  <c r="F25" i="4"/>
  <c r="F37" i="4" s="1"/>
  <c r="F49" i="4" s="1"/>
  <c r="F61" i="4" s="1"/>
  <c r="J61" i="4" s="1"/>
  <c r="F26" i="4"/>
  <c r="F38" i="4" s="1"/>
  <c r="F50" i="4" s="1"/>
  <c r="F62" i="4" s="1"/>
  <c r="J62" i="4" s="1"/>
  <c r="F27" i="4"/>
  <c r="F39" i="4" s="1"/>
  <c r="F51" i="4" s="1"/>
  <c r="F63" i="4" s="1"/>
  <c r="J63" i="4" s="1"/>
  <c r="F28" i="4"/>
  <c r="F40" i="4" s="1"/>
  <c r="F52" i="4" s="1"/>
  <c r="F64" i="4" s="1"/>
  <c r="J64" i="4" s="1"/>
  <c r="F29" i="4"/>
  <c r="F41" i="4" s="1"/>
  <c r="F53" i="4" s="1"/>
  <c r="F65" i="4" s="1"/>
  <c r="J65" i="4" s="1"/>
  <c r="F19" i="4"/>
  <c r="F31" i="4" s="1"/>
  <c r="F43" i="4" s="1"/>
  <c r="F55" i="4" s="1"/>
  <c r="J55" i="4" s="1"/>
  <c r="F16" i="4"/>
  <c r="F30" i="4" s="1"/>
  <c r="F42" i="4" s="1"/>
  <c r="F54" i="4" s="1"/>
  <c r="J54" i="4" s="1"/>
  <c r="AE23" i="4"/>
  <c r="AD23" i="4"/>
  <c r="AC23" i="4"/>
  <c r="AB23" i="4"/>
  <c r="AA23" i="4"/>
  <c r="H5" i="4"/>
  <c r="H6" i="4" s="1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E5" i="4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N4" i="3"/>
  <c r="AD21" i="3"/>
  <c r="AC21" i="3"/>
  <c r="AB21" i="3"/>
  <c r="AA21" i="3"/>
  <c r="Z21" i="3"/>
  <c r="AM13" i="3"/>
  <c r="AL13" i="3"/>
  <c r="AK13" i="3"/>
  <c r="AJ13" i="3"/>
  <c r="AI13" i="3"/>
  <c r="M5" i="3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E5" i="3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Q4" i="3"/>
  <c r="O4" i="4" l="1"/>
  <c r="J53" i="4"/>
  <c r="J33" i="4"/>
  <c r="J19" i="4"/>
  <c r="J51" i="4"/>
  <c r="J48" i="4"/>
  <c r="J31" i="4"/>
  <c r="J27" i="4"/>
  <c r="J29" i="4"/>
  <c r="J24" i="4"/>
  <c r="J35" i="4"/>
  <c r="J34" i="4"/>
  <c r="J32" i="4"/>
  <c r="J47" i="4"/>
  <c r="J45" i="4"/>
  <c r="J44" i="4"/>
  <c r="J43" i="4"/>
  <c r="J23" i="4"/>
  <c r="J39" i="4"/>
  <c r="J21" i="4"/>
  <c r="J46" i="4"/>
  <c r="J41" i="4"/>
  <c r="J22" i="4"/>
  <c r="J36" i="4"/>
  <c r="J20" i="4"/>
  <c r="J42" i="4"/>
  <c r="J30" i="4"/>
  <c r="J52" i="4"/>
  <c r="J40" i="4"/>
  <c r="J28" i="4"/>
  <c r="J16" i="4"/>
  <c r="J50" i="4"/>
  <c r="J38" i="4"/>
  <c r="J26" i="4"/>
  <c r="J49" i="4"/>
  <c r="J37" i="4"/>
  <c r="J25" i="4"/>
  <c r="I4" i="4"/>
  <c r="F66" i="4"/>
  <c r="F67" i="4" s="1"/>
  <c r="N5" i="3"/>
  <c r="N6" i="3" s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O8" i="4" l="1"/>
  <c r="O12" i="4" s="1"/>
  <c r="O16" i="4" s="1"/>
  <c r="T4" i="4"/>
  <c r="U4" i="4" s="1"/>
  <c r="AA24" i="4"/>
  <c r="J66" i="4"/>
  <c r="I5" i="4"/>
  <c r="T5" i="4" s="1"/>
  <c r="N64" i="3"/>
  <c r="Q64" i="3"/>
  <c r="O22" i="4" l="1"/>
  <c r="U5" i="4"/>
  <c r="AB24" i="4"/>
  <c r="AA27" i="4"/>
  <c r="AA28" i="4" s="1"/>
  <c r="I6" i="4"/>
  <c r="T6" i="4" s="1"/>
  <c r="V4" i="4"/>
  <c r="U6" i="4" l="1"/>
  <c r="AB31" i="4"/>
  <c r="AC32" i="4" s="1"/>
  <c r="AA12" i="4"/>
  <c r="AC24" i="4"/>
  <c r="AB27" i="4"/>
  <c r="AB28" i="4" s="1"/>
  <c r="AB12" i="4" s="1"/>
  <c r="I7" i="4"/>
  <c r="T7" i="4" s="1"/>
  <c r="V5" i="4"/>
  <c r="O64" i="3"/>
  <c r="U7" i="4" l="1"/>
  <c r="AB13" i="4"/>
  <c r="AB19" i="4" s="1"/>
  <c r="AC27" i="4"/>
  <c r="AC28" i="4" s="1"/>
  <c r="AC12" i="4" s="1"/>
  <c r="AD24" i="4"/>
  <c r="AA13" i="4"/>
  <c r="AA14" i="4" s="1"/>
  <c r="I8" i="4"/>
  <c r="T8" i="4" s="1"/>
  <c r="V6" i="4"/>
  <c r="P5" i="3"/>
  <c r="S5" i="3" s="1"/>
  <c r="P4" i="3"/>
  <c r="S4" i="3" s="1"/>
  <c r="U8" i="4" l="1"/>
  <c r="AA15" i="4"/>
  <c r="AB15" i="4"/>
  <c r="AB14" i="4"/>
  <c r="AA19" i="4"/>
  <c r="AE24" i="4"/>
  <c r="AD27" i="4"/>
  <c r="AD28" i="4" s="1"/>
  <c r="AD12" i="4" s="1"/>
  <c r="AC13" i="4"/>
  <c r="AC19" i="4" s="1"/>
  <c r="AC14" i="4"/>
  <c r="AC15" i="4"/>
  <c r="I9" i="4"/>
  <c r="T9" i="4" s="1"/>
  <c r="U9" i="4" s="1"/>
  <c r="V7" i="4"/>
  <c r="AD13" i="4" l="1"/>
  <c r="AD14" i="4" s="1"/>
  <c r="AE27" i="4"/>
  <c r="AE28" i="4" s="1"/>
  <c r="AE12" i="4" s="1"/>
  <c r="AG25" i="4"/>
  <c r="I10" i="4"/>
  <c r="T10" i="4" s="1"/>
  <c r="U10" i="4" s="1"/>
  <c r="V8" i="4"/>
  <c r="T4" i="3"/>
  <c r="AD15" i="4" l="1"/>
  <c r="AD19" i="4"/>
  <c r="AE13" i="4"/>
  <c r="AG13" i="4" s="1"/>
  <c r="AG12" i="4"/>
  <c r="I11" i="4"/>
  <c r="T11" i="4" s="1"/>
  <c r="U11" i="4" s="1"/>
  <c r="V9" i="4"/>
  <c r="U4" i="3"/>
  <c r="T5" i="3"/>
  <c r="U5" i="3" s="1"/>
  <c r="P6" i="3"/>
  <c r="S6" i="3" s="1"/>
  <c r="AE14" i="4" l="1"/>
  <c r="AE15" i="4"/>
  <c r="AE19" i="4"/>
  <c r="I12" i="4"/>
  <c r="T12" i="4" s="1"/>
  <c r="U12" i="4" s="1"/>
  <c r="V10" i="4"/>
  <c r="I13" i="4" l="1"/>
  <c r="T13" i="4" s="1"/>
  <c r="U13" i="4" s="1"/>
  <c r="V11" i="4"/>
  <c r="P7" i="3"/>
  <c r="S7" i="3" s="1"/>
  <c r="T6" i="3"/>
  <c r="U6" i="3" s="1"/>
  <c r="I14" i="4" l="1"/>
  <c r="T14" i="4" s="1"/>
  <c r="U14" i="4" s="1"/>
  <c r="V12" i="4"/>
  <c r="I15" i="4" l="1"/>
  <c r="P6" i="4" s="1"/>
  <c r="O5" i="4" s="1"/>
  <c r="V13" i="4"/>
  <c r="T7" i="3"/>
  <c r="U7" i="3" s="1"/>
  <c r="P8" i="3"/>
  <c r="AJ9" i="4" l="1"/>
  <c r="T15" i="4"/>
  <c r="U15" i="4" s="1"/>
  <c r="I16" i="4"/>
  <c r="V14" i="4"/>
  <c r="S8" i="3"/>
  <c r="T16" i="4" l="1"/>
  <c r="U16" i="4" s="1"/>
  <c r="AL9" i="4"/>
  <c r="AM9" i="4" s="1"/>
  <c r="I19" i="4"/>
  <c r="T19" i="4" s="1"/>
  <c r="V15" i="4"/>
  <c r="W15" i="4" s="1"/>
  <c r="T8" i="3"/>
  <c r="U8" i="3" s="1"/>
  <c r="P9" i="3"/>
  <c r="U19" i="4" l="1"/>
  <c r="I20" i="4"/>
  <c r="T20" i="4" s="1"/>
  <c r="V16" i="4"/>
  <c r="P10" i="3"/>
  <c r="S10" i="3" s="1"/>
  <c r="S9" i="3"/>
  <c r="U20" i="4" l="1"/>
  <c r="I21" i="4"/>
  <c r="T21" i="4" s="1"/>
  <c r="U21" i="4" s="1"/>
  <c r="V19" i="4"/>
  <c r="T9" i="3"/>
  <c r="U9" i="3" s="1"/>
  <c r="P11" i="3"/>
  <c r="S11" i="3" s="1"/>
  <c r="T10" i="3"/>
  <c r="U10" i="3" s="1"/>
  <c r="I22" i="4" l="1"/>
  <c r="T22" i="4" s="1"/>
  <c r="V20" i="4"/>
  <c r="T11" i="3"/>
  <c r="U11" i="3" s="1"/>
  <c r="I23" i="4" l="1"/>
  <c r="T23" i="4" s="1"/>
  <c r="V21" i="4"/>
  <c r="P12" i="3"/>
  <c r="S12" i="3" s="1"/>
  <c r="T12" i="3" s="1"/>
  <c r="U12" i="3" s="1"/>
  <c r="I24" i="4" l="1"/>
  <c r="U22" i="4"/>
  <c r="V22" i="4" s="1"/>
  <c r="T24" i="4" l="1"/>
  <c r="I25" i="4"/>
  <c r="U23" i="4"/>
  <c r="V23" i="4" s="1"/>
  <c r="P13" i="3"/>
  <c r="S13" i="3" s="1"/>
  <c r="T13" i="3" s="1"/>
  <c r="U13" i="3" s="1"/>
  <c r="T25" i="4" l="1"/>
  <c r="I26" i="4"/>
  <c r="U24" i="4"/>
  <c r="V24" i="4" s="1"/>
  <c r="U25" i="4" l="1"/>
  <c r="V25" i="4" s="1"/>
  <c r="T26" i="4"/>
  <c r="I27" i="4"/>
  <c r="P14" i="3"/>
  <c r="S14" i="3" s="1"/>
  <c r="T14" i="3" s="1"/>
  <c r="U14" i="3" s="1"/>
  <c r="AF24" i="1"/>
  <c r="AE24" i="1"/>
  <c r="AD24" i="1"/>
  <c r="AC24" i="1"/>
  <c r="AB24" i="1"/>
  <c r="AF21" i="1"/>
  <c r="AE21" i="1"/>
  <c r="AD21" i="1"/>
  <c r="AC21" i="1"/>
  <c r="AB21" i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B14" i="1"/>
  <c r="U26" i="4" l="1"/>
  <c r="V26" i="4" s="1"/>
  <c r="C15" i="1"/>
  <c r="G15" i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B38" i="1"/>
  <c r="C39" i="1" s="1"/>
  <c r="T27" i="4"/>
  <c r="I28" i="4"/>
  <c r="Q15" i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B19" i="1"/>
  <c r="AL29" i="1" s="1"/>
  <c r="AM29" i="1" s="1"/>
  <c r="AN29" i="1" s="1"/>
  <c r="AO29" i="1" s="1"/>
  <c r="AP29" i="1" s="1"/>
  <c r="B28" i="1"/>
  <c r="C29" i="1" s="1"/>
  <c r="F4" i="1"/>
  <c r="U27" i="4" l="1"/>
  <c r="V27" i="4" s="1"/>
  <c r="AB23" i="1"/>
  <c r="AC23" i="1" s="1"/>
  <c r="AD23" i="1" s="1"/>
  <c r="AE23" i="1" s="1"/>
  <c r="AF23" i="1" s="1"/>
  <c r="X13" i="1"/>
  <c r="X25" i="1" s="1"/>
  <c r="X37" i="1" s="1"/>
  <c r="X49" i="1" s="1"/>
  <c r="X61" i="1" s="1"/>
  <c r="T28" i="4"/>
  <c r="U28" i="4" s="1"/>
  <c r="V28" i="4" s="1"/>
  <c r="I29" i="4"/>
  <c r="P10" i="4" s="1"/>
  <c r="C20" i="1"/>
  <c r="O4" i="1"/>
  <c r="Q64" i="1"/>
  <c r="H4" i="1"/>
  <c r="O9" i="4" l="1"/>
  <c r="P14" i="4"/>
  <c r="T29" i="4"/>
  <c r="U29" i="4" s="1"/>
  <c r="V29" i="4" s="1"/>
  <c r="W29" i="4" s="1"/>
  <c r="I30" i="4"/>
  <c r="P15" i="3"/>
  <c r="S15" i="3" s="1"/>
  <c r="T15" i="3" s="1"/>
  <c r="U15" i="3" s="1"/>
  <c r="V15" i="3" s="1"/>
  <c r="B24" i="1"/>
  <c r="C25" i="1" s="1"/>
  <c r="C31" i="1" s="1"/>
  <c r="N4" i="1"/>
  <c r="P4" i="1" s="1"/>
  <c r="R4" i="1" s="1"/>
  <c r="S4" i="1" s="1"/>
  <c r="T4" i="1" s="1"/>
  <c r="I4" i="1"/>
  <c r="F5" i="1" s="1"/>
  <c r="H5" i="1" s="1"/>
  <c r="B34" i="1" s="1"/>
  <c r="C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P20" i="4" l="1"/>
  <c r="O13" i="4"/>
  <c r="O26" i="4"/>
  <c r="AJ10" i="4"/>
  <c r="C41" i="1"/>
  <c r="T30" i="4"/>
  <c r="U30" i="4" s="1"/>
  <c r="V30" i="4" s="1"/>
  <c r="I31" i="4"/>
  <c r="Z13" i="3"/>
  <c r="AI10" i="3"/>
  <c r="Z25" i="3"/>
  <c r="Z26" i="3" s="1"/>
  <c r="I5" i="1"/>
  <c r="F6" i="1" s="1"/>
  <c r="H6" i="1" s="1"/>
  <c r="N5" i="1"/>
  <c r="O64" i="1"/>
  <c r="AL10" i="4" l="1"/>
  <c r="AM10" i="4" s="1"/>
  <c r="AJ11" i="4"/>
  <c r="P24" i="4"/>
  <c r="P23" i="4" s="1"/>
  <c r="P19" i="4"/>
  <c r="P5" i="1"/>
  <c r="R5" i="1" s="1"/>
  <c r="S5" i="1" s="1"/>
  <c r="T5" i="1" s="1"/>
  <c r="T31" i="4"/>
  <c r="U31" i="4" s="1"/>
  <c r="V31" i="4" s="1"/>
  <c r="I32" i="4"/>
  <c r="AA29" i="3"/>
  <c r="AB30" i="3" s="1"/>
  <c r="Z12" i="3"/>
  <c r="AI12" i="3"/>
  <c r="AI14" i="3" s="1"/>
  <c r="I6" i="1"/>
  <c r="F7" i="1" s="1"/>
  <c r="H7" i="1" s="1"/>
  <c r="N6" i="1"/>
  <c r="P26" i="4" l="1"/>
  <c r="AJ12" i="4"/>
  <c r="AL11" i="4"/>
  <c r="AM11" i="4" s="1"/>
  <c r="P6" i="1"/>
  <c r="R6" i="1" s="1"/>
  <c r="S6" i="1" s="1"/>
  <c r="T6" i="1" s="1"/>
  <c r="T32" i="4"/>
  <c r="U32" i="4" s="1"/>
  <c r="V32" i="4" s="1"/>
  <c r="I33" i="4"/>
  <c r="P16" i="3"/>
  <c r="S16" i="3" s="1"/>
  <c r="T16" i="3" s="1"/>
  <c r="U16" i="3" s="1"/>
  <c r="Z17" i="3"/>
  <c r="Z15" i="3"/>
  <c r="Z14" i="3"/>
  <c r="I7" i="1"/>
  <c r="F8" i="1" s="1"/>
  <c r="H8" i="1" s="1"/>
  <c r="N7" i="1"/>
  <c r="AJ13" i="4" l="1"/>
  <c r="AL13" i="4" s="1"/>
  <c r="AM13" i="4" s="1"/>
  <c r="AL12" i="4"/>
  <c r="AM12" i="4" s="1"/>
  <c r="P7" i="1"/>
  <c r="R7" i="1" s="1"/>
  <c r="S7" i="1" s="1"/>
  <c r="T7" i="1" s="1"/>
  <c r="T33" i="4"/>
  <c r="U33" i="4" s="1"/>
  <c r="V33" i="4" s="1"/>
  <c r="I34" i="4"/>
  <c r="I8" i="1"/>
  <c r="F9" i="1" s="1"/>
  <c r="H9" i="1" s="1"/>
  <c r="N8" i="1"/>
  <c r="P8" i="1" l="1"/>
  <c r="R8" i="1" s="1"/>
  <c r="S8" i="1" s="1"/>
  <c r="T8" i="1" s="1"/>
  <c r="T34" i="4"/>
  <c r="U34" i="4" s="1"/>
  <c r="V34" i="4" s="1"/>
  <c r="I35" i="4"/>
  <c r="P17" i="3"/>
  <c r="S17" i="3" s="1"/>
  <c r="T17" i="3" s="1"/>
  <c r="U17" i="3" s="1"/>
  <c r="I9" i="1"/>
  <c r="F10" i="1" s="1"/>
  <c r="H10" i="1" s="1"/>
  <c r="N9" i="1"/>
  <c r="P9" i="1" s="1"/>
  <c r="R9" i="1" s="1"/>
  <c r="S9" i="1" s="1"/>
  <c r="T9" i="1" s="1"/>
  <c r="T35" i="4" l="1"/>
  <c r="U35" i="4" s="1"/>
  <c r="V35" i="4" s="1"/>
  <c r="I36" i="4"/>
  <c r="I10" i="1"/>
  <c r="F11" i="1" s="1"/>
  <c r="N10" i="1"/>
  <c r="P10" i="1" s="1"/>
  <c r="R10" i="1" s="1"/>
  <c r="S10" i="1" s="1"/>
  <c r="T10" i="1" s="1"/>
  <c r="T36" i="4" l="1"/>
  <c r="U36" i="4" s="1"/>
  <c r="V36" i="4" s="1"/>
  <c r="I37" i="4"/>
  <c r="P18" i="3"/>
  <c r="S18" i="3" s="1"/>
  <c r="T18" i="3" s="1"/>
  <c r="U18" i="3" s="1"/>
  <c r="H11" i="1"/>
  <c r="N11" i="1" s="1"/>
  <c r="P11" i="1" s="1"/>
  <c r="R11" i="1" s="1"/>
  <c r="S11" i="1" s="1"/>
  <c r="T11" i="1" s="1"/>
  <c r="I11" i="1"/>
  <c r="F12" i="1" s="1"/>
  <c r="H12" i="1" s="1"/>
  <c r="T37" i="4" l="1"/>
  <c r="U37" i="4" s="1"/>
  <c r="V37" i="4" s="1"/>
  <c r="I38" i="4"/>
  <c r="I12" i="1"/>
  <c r="F13" i="1" s="1"/>
  <c r="N12" i="1"/>
  <c r="P12" i="1" s="1"/>
  <c r="R12" i="1" s="1"/>
  <c r="S12" i="1" s="1"/>
  <c r="T12" i="1" s="1"/>
  <c r="T38" i="4" l="1"/>
  <c r="U38" i="4" s="1"/>
  <c r="V38" i="4" s="1"/>
  <c r="I39" i="4"/>
  <c r="P19" i="3"/>
  <c r="S19" i="3" s="1"/>
  <c r="T19" i="3" s="1"/>
  <c r="U19" i="3" s="1"/>
  <c r="H13" i="1"/>
  <c r="N13" i="1" s="1"/>
  <c r="P13" i="1" s="1"/>
  <c r="R13" i="1" s="1"/>
  <c r="S13" i="1" s="1"/>
  <c r="T13" i="1" s="1"/>
  <c r="I13" i="1" l="1"/>
  <c r="F14" i="1" s="1"/>
  <c r="T39" i="4"/>
  <c r="U39" i="4" s="1"/>
  <c r="V39" i="4" s="1"/>
  <c r="I40" i="4"/>
  <c r="H14" i="1"/>
  <c r="N14" i="1" s="1"/>
  <c r="P14" i="1" s="1"/>
  <c r="R14" i="1" s="1"/>
  <c r="S14" i="1" s="1"/>
  <c r="T14" i="1" s="1"/>
  <c r="I14" i="1" l="1"/>
  <c r="F15" i="1" s="1"/>
  <c r="H15" i="1" s="1"/>
  <c r="N15" i="1" s="1"/>
  <c r="T40" i="4"/>
  <c r="U40" i="4" s="1"/>
  <c r="V40" i="4" s="1"/>
  <c r="I41" i="4"/>
  <c r="P20" i="3"/>
  <c r="S20" i="3" s="1"/>
  <c r="T20" i="3" s="1"/>
  <c r="U20" i="3" s="1"/>
  <c r="P21" i="3"/>
  <c r="S21" i="3" s="1"/>
  <c r="T21" i="3" s="1"/>
  <c r="U21" i="3" s="1"/>
  <c r="I15" i="1" l="1"/>
  <c r="P15" i="1"/>
  <c r="R15" i="1" s="1"/>
  <c r="S15" i="1" s="1"/>
  <c r="T41" i="4"/>
  <c r="U41" i="4" s="1"/>
  <c r="V41" i="4" s="1"/>
  <c r="W41" i="4" s="1"/>
  <c r="I42" i="4"/>
  <c r="AB22" i="1"/>
  <c r="X12" i="1"/>
  <c r="X14" i="1" s="1"/>
  <c r="X15" i="1" s="1"/>
  <c r="F16" i="1" l="1"/>
  <c r="AL28" i="1"/>
  <c r="H16" i="1"/>
  <c r="N16" i="1" s="1"/>
  <c r="P16" i="1" s="1"/>
  <c r="R16" i="1" s="1"/>
  <c r="S16" i="1" s="1"/>
  <c r="AB25" i="1"/>
  <c r="AB26" i="1" s="1"/>
  <c r="T42" i="4"/>
  <c r="U42" i="4" s="1"/>
  <c r="V42" i="4" s="1"/>
  <c r="I43" i="4"/>
  <c r="P22" i="3"/>
  <c r="S22" i="3" s="1"/>
  <c r="T22" i="3" s="1"/>
  <c r="U22" i="3" s="1"/>
  <c r="T15" i="1"/>
  <c r="U15" i="1" s="1"/>
  <c r="I16" i="1" l="1"/>
  <c r="F17" i="1" s="1"/>
  <c r="AB12" i="1"/>
  <c r="AC29" i="1"/>
  <c r="AD30" i="1" s="1"/>
  <c r="T43" i="4"/>
  <c r="U43" i="4" s="1"/>
  <c r="V43" i="4" s="1"/>
  <c r="I44" i="4"/>
  <c r="P23" i="3"/>
  <c r="S23" i="3" s="1"/>
  <c r="T23" i="3" s="1"/>
  <c r="U23" i="3" s="1"/>
  <c r="T16" i="1"/>
  <c r="H17" i="1" l="1"/>
  <c r="N17" i="1" s="1"/>
  <c r="P17" i="1" s="1"/>
  <c r="R17" i="1" s="1"/>
  <c r="S17" i="1" s="1"/>
  <c r="T17" i="1" s="1"/>
  <c r="AG29" i="1"/>
  <c r="T44" i="4"/>
  <c r="U44" i="4" s="1"/>
  <c r="V44" i="4" s="1"/>
  <c r="I45" i="4"/>
  <c r="AB15" i="1" l="1"/>
  <c r="AH30" i="1"/>
  <c r="AI29" i="1"/>
  <c r="I17" i="1"/>
  <c r="F18" i="1" s="1"/>
  <c r="AB14" i="1"/>
  <c r="AB17" i="1"/>
  <c r="T45" i="4"/>
  <c r="U45" i="4" s="1"/>
  <c r="V45" i="4" s="1"/>
  <c r="I46" i="4"/>
  <c r="P24" i="3"/>
  <c r="S24" i="3" s="1"/>
  <c r="T24" i="3" s="1"/>
  <c r="U24" i="3" s="1"/>
  <c r="H18" i="1" l="1"/>
  <c r="N18" i="1" s="1"/>
  <c r="P18" i="1" s="1"/>
  <c r="R18" i="1" s="1"/>
  <c r="S18" i="1" s="1"/>
  <c r="T18" i="1" s="1"/>
  <c r="T46" i="4"/>
  <c r="U46" i="4" s="1"/>
  <c r="V46" i="4" s="1"/>
  <c r="I47" i="4"/>
  <c r="I18" i="1" l="1"/>
  <c r="F19" i="1" s="1"/>
  <c r="I19" i="1" s="1"/>
  <c r="F20" i="1" s="1"/>
  <c r="H19" i="1"/>
  <c r="N19" i="1" s="1"/>
  <c r="P19" i="1" s="1"/>
  <c r="R19" i="1" s="1"/>
  <c r="S19" i="1" s="1"/>
  <c r="T19" i="1" s="1"/>
  <c r="T47" i="4"/>
  <c r="U47" i="4" s="1"/>
  <c r="V47" i="4" s="1"/>
  <c r="I48" i="4"/>
  <c r="P25" i="3"/>
  <c r="S25" i="3" s="1"/>
  <c r="T25" i="3" s="1"/>
  <c r="U25" i="3" s="1"/>
  <c r="H20" i="1" l="1"/>
  <c r="N20" i="1" s="1"/>
  <c r="P20" i="1" s="1"/>
  <c r="R20" i="1" s="1"/>
  <c r="S20" i="1" s="1"/>
  <c r="T20" i="1" s="1"/>
  <c r="T48" i="4"/>
  <c r="U48" i="4" s="1"/>
  <c r="V48" i="4" s="1"/>
  <c r="I49" i="4"/>
  <c r="I20" i="1" l="1"/>
  <c r="F21" i="1" s="1"/>
  <c r="H21" i="1"/>
  <c r="N21" i="1" s="1"/>
  <c r="P21" i="1" s="1"/>
  <c r="R21" i="1" s="1"/>
  <c r="S21" i="1" s="1"/>
  <c r="T21" i="1" s="1"/>
  <c r="T49" i="4"/>
  <c r="U49" i="4" s="1"/>
  <c r="V49" i="4" s="1"/>
  <c r="I50" i="4"/>
  <c r="P26" i="3"/>
  <c r="S26" i="3" s="1"/>
  <c r="T26" i="3" s="1"/>
  <c r="U26" i="3" s="1"/>
  <c r="I21" i="1" l="1"/>
  <c r="F22" i="1" s="1"/>
  <c r="H22" i="1"/>
  <c r="N22" i="1" s="1"/>
  <c r="P22" i="1" s="1"/>
  <c r="R22" i="1" s="1"/>
  <c r="S22" i="1" s="1"/>
  <c r="T22" i="1" s="1"/>
  <c r="T50" i="4"/>
  <c r="U50" i="4" s="1"/>
  <c r="V50" i="4" s="1"/>
  <c r="I51" i="4"/>
  <c r="I22" i="1" l="1"/>
  <c r="F23" i="1" s="1"/>
  <c r="H23" i="1"/>
  <c r="N23" i="1" s="1"/>
  <c r="P23" i="1" s="1"/>
  <c r="R23" i="1" s="1"/>
  <c r="S23" i="1" s="1"/>
  <c r="T23" i="1" s="1"/>
  <c r="I23" i="1"/>
  <c r="F24" i="1" s="1"/>
  <c r="T51" i="4"/>
  <c r="U51" i="4" s="1"/>
  <c r="V51" i="4" s="1"/>
  <c r="I52" i="4"/>
  <c r="H24" i="1" l="1"/>
  <c r="N24" i="1" s="1"/>
  <c r="P24" i="1" s="1"/>
  <c r="R24" i="1" s="1"/>
  <c r="S24" i="1" s="1"/>
  <c r="T24" i="1" s="1"/>
  <c r="I24" i="1"/>
  <c r="F25" i="1" s="1"/>
  <c r="T52" i="4"/>
  <c r="U52" i="4" s="1"/>
  <c r="V52" i="4" s="1"/>
  <c r="I53" i="4"/>
  <c r="P27" i="3"/>
  <c r="S27" i="3" s="1"/>
  <c r="T27" i="3" s="1"/>
  <c r="U27" i="3" s="1"/>
  <c r="V27" i="3" s="1"/>
  <c r="H25" i="1" l="1"/>
  <c r="N25" i="1" s="1"/>
  <c r="P25" i="1" s="1"/>
  <c r="R25" i="1" s="1"/>
  <c r="S25" i="1" s="1"/>
  <c r="T25" i="1" s="1"/>
  <c r="I25" i="1"/>
  <c r="F26" i="1" s="1"/>
  <c r="H26" i="1" s="1"/>
  <c r="T53" i="4"/>
  <c r="U53" i="4" s="1"/>
  <c r="V53" i="4" s="1"/>
  <c r="W53" i="4" s="1"/>
  <c r="I54" i="4"/>
  <c r="AA13" i="3"/>
  <c r="AA25" i="3"/>
  <c r="AA26" i="3" s="1"/>
  <c r="AA12" i="3" s="1"/>
  <c r="AJ10" i="3"/>
  <c r="I26" i="1" l="1"/>
  <c r="F27" i="1" s="1"/>
  <c r="N26" i="1"/>
  <c r="T54" i="4"/>
  <c r="U54" i="4" s="1"/>
  <c r="V54" i="4" s="1"/>
  <c r="I55" i="4"/>
  <c r="AJ12" i="3"/>
  <c r="AJ14" i="3"/>
  <c r="AA17" i="3"/>
  <c r="AA15" i="3"/>
  <c r="AA14" i="3"/>
  <c r="P28" i="3"/>
  <c r="S28" i="3" s="1"/>
  <c r="T28" i="3" s="1"/>
  <c r="U28" i="3" s="1"/>
  <c r="P26" i="1" l="1"/>
  <c r="R26" i="1" s="1"/>
  <c r="S26" i="1" s="1"/>
  <c r="T26" i="1" s="1"/>
  <c r="H27" i="1"/>
  <c r="N27" i="1" s="1"/>
  <c r="P27" i="1" s="1"/>
  <c r="R27" i="1" s="1"/>
  <c r="S27" i="1" s="1"/>
  <c r="T27" i="1" s="1"/>
  <c r="U27" i="1" s="1"/>
  <c r="I27" i="1"/>
  <c r="AM28" i="1" s="1"/>
  <c r="T55" i="4"/>
  <c r="U55" i="4" s="1"/>
  <c r="V55" i="4" s="1"/>
  <c r="I56" i="4"/>
  <c r="F28" i="1" l="1"/>
  <c r="X24" i="1"/>
  <c r="X26" i="1" s="1"/>
  <c r="X27" i="1" s="1"/>
  <c r="AC22" i="1"/>
  <c r="AC25" i="1" s="1"/>
  <c r="AC26" i="1" s="1"/>
  <c r="T56" i="4"/>
  <c r="U56" i="4" s="1"/>
  <c r="V56" i="4" s="1"/>
  <c r="I57" i="4"/>
  <c r="P29" i="3"/>
  <c r="S29" i="3" s="1"/>
  <c r="T29" i="3" s="1"/>
  <c r="U29" i="3" s="1"/>
  <c r="AC12" i="1" l="1"/>
  <c r="AC32" i="1"/>
  <c r="AD33" i="1" s="1"/>
  <c r="AG32" i="1"/>
  <c r="H28" i="1"/>
  <c r="N28" i="1" s="1"/>
  <c r="P28" i="1" s="1"/>
  <c r="R28" i="1" s="1"/>
  <c r="S28" i="1" s="1"/>
  <c r="T28" i="1" s="1"/>
  <c r="I28" i="1"/>
  <c r="F29" i="1" s="1"/>
  <c r="T57" i="4"/>
  <c r="U57" i="4" s="1"/>
  <c r="V57" i="4" s="1"/>
  <c r="I58" i="4"/>
  <c r="AC17" i="1" l="1"/>
  <c r="AH33" i="1"/>
  <c r="AI32" i="1"/>
  <c r="H29" i="1"/>
  <c r="N29" i="1" s="1"/>
  <c r="P29" i="1" s="1"/>
  <c r="R29" i="1" s="1"/>
  <c r="S29" i="1" s="1"/>
  <c r="T29" i="1" s="1"/>
  <c r="I29" i="1"/>
  <c r="F30" i="1" s="1"/>
  <c r="AC15" i="1"/>
  <c r="AC14" i="1"/>
  <c r="T58" i="4"/>
  <c r="U58" i="4" s="1"/>
  <c r="V58" i="4" s="1"/>
  <c r="I59" i="4"/>
  <c r="P30" i="3"/>
  <c r="S30" i="3" s="1"/>
  <c r="T30" i="3" s="1"/>
  <c r="U30" i="3" s="1"/>
  <c r="H30" i="1" l="1"/>
  <c r="N30" i="1" s="1"/>
  <c r="P30" i="1" s="1"/>
  <c r="R30" i="1" s="1"/>
  <c r="S30" i="1" s="1"/>
  <c r="T30" i="1" s="1"/>
  <c r="I30" i="1"/>
  <c r="F31" i="1" s="1"/>
  <c r="T59" i="4"/>
  <c r="U59" i="4" s="1"/>
  <c r="V59" i="4" s="1"/>
  <c r="I60" i="4"/>
  <c r="H31" i="1" l="1"/>
  <c r="N31" i="1" s="1"/>
  <c r="P31" i="1" s="1"/>
  <c r="R31" i="1" s="1"/>
  <c r="S31" i="1" s="1"/>
  <c r="T31" i="1" s="1"/>
  <c r="I31" i="1"/>
  <c r="F32" i="1" s="1"/>
  <c r="T60" i="4"/>
  <c r="U60" i="4" s="1"/>
  <c r="V60" i="4" s="1"/>
  <c r="I61" i="4"/>
  <c r="P31" i="3"/>
  <c r="S31" i="3" s="1"/>
  <c r="T31" i="3" s="1"/>
  <c r="U31" i="3" s="1"/>
  <c r="H32" i="1" l="1"/>
  <c r="N32" i="1" s="1"/>
  <c r="P32" i="1" s="1"/>
  <c r="R32" i="1" s="1"/>
  <c r="S32" i="1" s="1"/>
  <c r="T32" i="1" s="1"/>
  <c r="I32" i="1"/>
  <c r="F33" i="1" s="1"/>
  <c r="T61" i="4"/>
  <c r="U61" i="4" s="1"/>
  <c r="V61" i="4" s="1"/>
  <c r="I62" i="4"/>
  <c r="H33" i="1" l="1"/>
  <c r="N33" i="1" s="1"/>
  <c r="P33" i="1" s="1"/>
  <c r="R33" i="1" s="1"/>
  <c r="S33" i="1" s="1"/>
  <c r="T33" i="1" s="1"/>
  <c r="I33" i="1"/>
  <c r="F34" i="1" s="1"/>
  <c r="T62" i="4"/>
  <c r="U62" i="4" s="1"/>
  <c r="V62" i="4" s="1"/>
  <c r="I63" i="4"/>
  <c r="P32" i="3"/>
  <c r="S32" i="3" s="1"/>
  <c r="T32" i="3" s="1"/>
  <c r="U32" i="3" s="1"/>
  <c r="H34" i="1" l="1"/>
  <c r="N34" i="1" s="1"/>
  <c r="P34" i="1" s="1"/>
  <c r="R34" i="1" s="1"/>
  <c r="S34" i="1" s="1"/>
  <c r="T34" i="1" s="1"/>
  <c r="I34" i="1"/>
  <c r="F35" i="1" s="1"/>
  <c r="T63" i="4"/>
  <c r="U63" i="4" s="1"/>
  <c r="V63" i="4" s="1"/>
  <c r="I64" i="4"/>
  <c r="P33" i="3"/>
  <c r="S33" i="3" s="1"/>
  <c r="T33" i="3" s="1"/>
  <c r="U33" i="3" s="1"/>
  <c r="H35" i="1" l="1"/>
  <c r="N35" i="1" s="1"/>
  <c r="P35" i="1" s="1"/>
  <c r="R35" i="1" s="1"/>
  <c r="S35" i="1" s="1"/>
  <c r="T35" i="1" s="1"/>
  <c r="I35" i="1"/>
  <c r="F36" i="1" s="1"/>
  <c r="T64" i="4"/>
  <c r="U64" i="4" s="1"/>
  <c r="V64" i="4" s="1"/>
  <c r="I65" i="4"/>
  <c r="P34" i="3"/>
  <c r="S34" i="3" s="1"/>
  <c r="T34" i="3" s="1"/>
  <c r="U34" i="3" s="1"/>
  <c r="H36" i="1" l="1"/>
  <c r="N36" i="1" s="1"/>
  <c r="P36" i="1" s="1"/>
  <c r="R36" i="1" s="1"/>
  <c r="S36" i="1" s="1"/>
  <c r="T36" i="1" s="1"/>
  <c r="I36" i="1"/>
  <c r="F37" i="1" s="1"/>
  <c r="T65" i="4"/>
  <c r="U65" i="4" s="1"/>
  <c r="V65" i="4" s="1"/>
  <c r="W65" i="4" s="1"/>
  <c r="I66" i="4"/>
  <c r="P35" i="3"/>
  <c r="S35" i="3" s="1"/>
  <c r="T35" i="3" s="1"/>
  <c r="U35" i="3" s="1"/>
  <c r="T66" i="4" l="1"/>
  <c r="H37" i="1"/>
  <c r="N37" i="1" s="1"/>
  <c r="I37" i="1"/>
  <c r="F38" i="1" s="1"/>
  <c r="P36" i="3"/>
  <c r="S36" i="3" s="1"/>
  <c r="T36" i="3" s="1"/>
  <c r="U36" i="3" s="1"/>
  <c r="H38" i="1" l="1"/>
  <c r="N38" i="1" s="1"/>
  <c r="P38" i="1" s="1"/>
  <c r="R38" i="1" s="1"/>
  <c r="I38" i="1"/>
  <c r="F39" i="1" s="1"/>
  <c r="P37" i="1"/>
  <c r="R37" i="1" s="1"/>
  <c r="S37" i="1" s="1"/>
  <c r="T37" i="1" s="1"/>
  <c r="H39" i="1" l="1"/>
  <c r="N39" i="1" s="1"/>
  <c r="I39" i="1"/>
  <c r="AN28" i="1" s="1"/>
  <c r="S38" i="1"/>
  <c r="T38" i="1" s="1"/>
  <c r="P37" i="3"/>
  <c r="S37" i="3" s="1"/>
  <c r="T37" i="3" s="1"/>
  <c r="U37" i="3" s="1"/>
  <c r="F40" i="1" l="1"/>
  <c r="X36" i="1"/>
  <c r="X38" i="1" s="1"/>
  <c r="X39" i="1" s="1"/>
  <c r="P39" i="1"/>
  <c r="R39" i="1" s="1"/>
  <c r="S39" i="1" s="1"/>
  <c r="T39" i="1" s="1"/>
  <c r="U39" i="1" s="1"/>
  <c r="AD22" i="1"/>
  <c r="AD25" i="1" s="1"/>
  <c r="AD26" i="1" s="1"/>
  <c r="P38" i="3"/>
  <c r="S38" i="3" s="1"/>
  <c r="T38" i="3" s="1"/>
  <c r="U38" i="3" s="1"/>
  <c r="AD12" i="1" l="1"/>
  <c r="AC35" i="1"/>
  <c r="AD36" i="1" s="1"/>
  <c r="AG35" i="1"/>
  <c r="AD15" i="1"/>
  <c r="AD14" i="1"/>
  <c r="H40" i="1"/>
  <c r="N40" i="1" s="1"/>
  <c r="P40" i="1" s="1"/>
  <c r="R40" i="1" s="1"/>
  <c r="S40" i="1" s="1"/>
  <c r="T40" i="1" s="1"/>
  <c r="I40" i="1"/>
  <c r="F41" i="1" s="1"/>
  <c r="AD17" i="1" l="1"/>
  <c r="AH36" i="1"/>
  <c r="AI35" i="1"/>
  <c r="H41" i="1"/>
  <c r="N41" i="1" s="1"/>
  <c r="P41" i="1" s="1"/>
  <c r="R41" i="1" s="1"/>
  <c r="S41" i="1" s="1"/>
  <c r="T41" i="1" s="1"/>
  <c r="I41" i="1"/>
  <c r="F42" i="1" s="1"/>
  <c r="H42" i="1" l="1"/>
  <c r="N42" i="1" s="1"/>
  <c r="P42" i="1" s="1"/>
  <c r="R42" i="1" s="1"/>
  <c r="S42" i="1" s="1"/>
  <c r="T42" i="1" s="1"/>
  <c r="P39" i="3"/>
  <c r="S39" i="3" s="1"/>
  <c r="T39" i="3" s="1"/>
  <c r="U39" i="3" s="1"/>
  <c r="V39" i="3" s="1"/>
  <c r="I42" i="1" l="1"/>
  <c r="F43" i="1" s="1"/>
  <c r="H43" i="1"/>
  <c r="N43" i="1" s="1"/>
  <c r="P43" i="1" s="1"/>
  <c r="R43" i="1" s="1"/>
  <c r="S43" i="1" s="1"/>
  <c r="T43" i="1" s="1"/>
  <c r="AK10" i="3"/>
  <c r="AB13" i="3"/>
  <c r="AB25" i="3"/>
  <c r="AB26" i="3" s="1"/>
  <c r="AB12" i="3" s="1"/>
  <c r="I43" i="1" l="1"/>
  <c r="F44" i="1" s="1"/>
  <c r="H44" i="1"/>
  <c r="N44" i="1" s="1"/>
  <c r="P44" i="1" s="1"/>
  <c r="R44" i="1" s="1"/>
  <c r="S44" i="1" s="1"/>
  <c r="T44" i="1" s="1"/>
  <c r="I44" i="1"/>
  <c r="F45" i="1" s="1"/>
  <c r="AB15" i="3"/>
  <c r="AB14" i="3"/>
  <c r="AB17" i="3"/>
  <c r="AK12" i="3"/>
  <c r="AK14" i="3" s="1"/>
  <c r="H45" i="1" l="1"/>
  <c r="N45" i="1" s="1"/>
  <c r="P45" i="1" s="1"/>
  <c r="R45" i="1" s="1"/>
  <c r="S45" i="1" s="1"/>
  <c r="T45" i="1" s="1"/>
  <c r="P41" i="3"/>
  <c r="S41" i="3" s="1"/>
  <c r="P40" i="3"/>
  <c r="S40" i="3" s="1"/>
  <c r="T40" i="3" s="1"/>
  <c r="U40" i="3" s="1"/>
  <c r="I45" i="1" l="1"/>
  <c r="F46" i="1" s="1"/>
  <c r="H46" i="1"/>
  <c r="N46" i="1" s="1"/>
  <c r="P46" i="1" s="1"/>
  <c r="R46" i="1" s="1"/>
  <c r="S46" i="1" s="1"/>
  <c r="T46" i="1" s="1"/>
  <c r="I46" i="1"/>
  <c r="F47" i="1" s="1"/>
  <c r="T41" i="3"/>
  <c r="U41" i="3" s="1"/>
  <c r="H47" i="1" l="1"/>
  <c r="N47" i="1" s="1"/>
  <c r="P47" i="1" s="1"/>
  <c r="R47" i="1" s="1"/>
  <c r="S47" i="1" s="1"/>
  <c r="T47" i="1" s="1"/>
  <c r="I47" i="1"/>
  <c r="F48" i="1" s="1"/>
  <c r="H48" i="1" l="1"/>
  <c r="N48" i="1" s="1"/>
  <c r="I48" i="1"/>
  <c r="F49" i="1" s="1"/>
  <c r="P42" i="3"/>
  <c r="S42" i="3" s="1"/>
  <c r="T42" i="3" s="1"/>
  <c r="U42" i="3" s="1"/>
  <c r="H49" i="1" l="1"/>
  <c r="N49" i="1" s="1"/>
  <c r="P49" i="1" s="1"/>
  <c r="R49" i="1" s="1"/>
  <c r="I49" i="1"/>
  <c r="F50" i="1" s="1"/>
  <c r="P48" i="1"/>
  <c r="R48" i="1" s="1"/>
  <c r="S48" i="1" s="1"/>
  <c r="T48" i="1" s="1"/>
  <c r="H50" i="1" l="1"/>
  <c r="N50" i="1" s="1"/>
  <c r="I50" i="1"/>
  <c r="F51" i="1" s="1"/>
  <c r="S49" i="1"/>
  <c r="T49" i="1" s="1"/>
  <c r="P43" i="3"/>
  <c r="S43" i="3" s="1"/>
  <c r="T43" i="3" s="1"/>
  <c r="U43" i="3" s="1"/>
  <c r="H51" i="1" l="1"/>
  <c r="N51" i="1" s="1"/>
  <c r="P51" i="1" s="1"/>
  <c r="R51" i="1" s="1"/>
  <c r="P50" i="1"/>
  <c r="R50" i="1" s="1"/>
  <c r="S50" i="1" s="1"/>
  <c r="T50" i="1" s="1"/>
  <c r="AE22" i="1"/>
  <c r="I51" i="1" l="1"/>
  <c r="AO28" i="1" s="1"/>
  <c r="F52" i="1"/>
  <c r="X48" i="1"/>
  <c r="X50" i="1" s="1"/>
  <c r="X51" i="1" s="1"/>
  <c r="AE25" i="1"/>
  <c r="AE26" i="1" s="1"/>
  <c r="S51" i="1"/>
  <c r="T51" i="1" s="1"/>
  <c r="U51" i="1" s="1"/>
  <c r="P44" i="3"/>
  <c r="S44" i="3" s="1"/>
  <c r="T44" i="3" s="1"/>
  <c r="U44" i="3" s="1"/>
  <c r="AE12" i="1" l="1"/>
  <c r="AC38" i="1"/>
  <c r="AD39" i="1" s="1"/>
  <c r="AE15" i="1"/>
  <c r="AE14" i="1"/>
  <c r="H52" i="1"/>
  <c r="N52" i="1" s="1"/>
  <c r="P52" i="1" s="1"/>
  <c r="R52" i="1" s="1"/>
  <c r="S52" i="1" s="1"/>
  <c r="T52" i="1" s="1"/>
  <c r="I52" i="1"/>
  <c r="F53" i="1" s="1"/>
  <c r="P45" i="3"/>
  <c r="S45" i="3" s="1"/>
  <c r="T45" i="3" s="1"/>
  <c r="U45" i="3" s="1"/>
  <c r="AE17" i="1" l="1"/>
  <c r="AG38" i="1"/>
  <c r="AH39" i="1" s="1"/>
  <c r="AI39" i="1" s="1"/>
  <c r="H53" i="1"/>
  <c r="N53" i="1" s="1"/>
  <c r="P53" i="1" s="1"/>
  <c r="R53" i="1" s="1"/>
  <c r="S53" i="1" s="1"/>
  <c r="T53" i="1" s="1"/>
  <c r="P46" i="3"/>
  <c r="S46" i="3" s="1"/>
  <c r="T46" i="3" s="1"/>
  <c r="U46" i="3" s="1"/>
  <c r="I53" i="1" l="1"/>
  <c r="F54" i="1" s="1"/>
  <c r="H54" i="1"/>
  <c r="N54" i="1" s="1"/>
  <c r="P54" i="1" s="1"/>
  <c r="R54" i="1" s="1"/>
  <c r="S54" i="1" s="1"/>
  <c r="T54" i="1" s="1"/>
  <c r="I54" i="1" l="1"/>
  <c r="F55" i="1" s="1"/>
  <c r="H55" i="1"/>
  <c r="N55" i="1" s="1"/>
  <c r="P55" i="1" s="1"/>
  <c r="R55" i="1" s="1"/>
  <c r="S55" i="1" s="1"/>
  <c r="T55" i="1" s="1"/>
  <c r="I55" i="1"/>
  <c r="F56" i="1" s="1"/>
  <c r="P47" i="3"/>
  <c r="S47" i="3" s="1"/>
  <c r="T47" i="3" s="1"/>
  <c r="U47" i="3" s="1"/>
  <c r="H56" i="1" l="1"/>
  <c r="N56" i="1" s="1"/>
  <c r="P56" i="1" s="1"/>
  <c r="R56" i="1" s="1"/>
  <c r="S56" i="1" s="1"/>
  <c r="T56" i="1" s="1"/>
  <c r="I56" i="1" l="1"/>
  <c r="F57" i="1" s="1"/>
  <c r="H57" i="1" s="1"/>
  <c r="N57" i="1" s="1"/>
  <c r="P57" i="1" s="1"/>
  <c r="R57" i="1" s="1"/>
  <c r="S57" i="1" s="1"/>
  <c r="T57" i="1" s="1"/>
  <c r="P48" i="3"/>
  <c r="S48" i="3" s="1"/>
  <c r="T48" i="3" s="1"/>
  <c r="U48" i="3" s="1"/>
  <c r="I57" i="1" l="1"/>
  <c r="F58" i="1" s="1"/>
  <c r="H58" i="1"/>
  <c r="N58" i="1" s="1"/>
  <c r="P58" i="1" s="1"/>
  <c r="R58" i="1" s="1"/>
  <c r="S58" i="1" s="1"/>
  <c r="T58" i="1" s="1"/>
  <c r="I58" i="1"/>
  <c r="F59" i="1" s="1"/>
  <c r="H59" i="1" l="1"/>
  <c r="N59" i="1" s="1"/>
  <c r="P59" i="1" s="1"/>
  <c r="R59" i="1" s="1"/>
  <c r="S59" i="1" s="1"/>
  <c r="T59" i="1" s="1"/>
  <c r="I59" i="1"/>
  <c r="F60" i="1" s="1"/>
  <c r="P49" i="3"/>
  <c r="S49" i="3" s="1"/>
  <c r="T49" i="3" s="1"/>
  <c r="U49" i="3" s="1"/>
  <c r="H60" i="1" l="1"/>
  <c r="N60" i="1" s="1"/>
  <c r="P60" i="1" s="1"/>
  <c r="R60" i="1" s="1"/>
  <c r="S60" i="1" s="1"/>
  <c r="T60" i="1" s="1"/>
  <c r="I60" i="1" l="1"/>
  <c r="F61" i="1" s="1"/>
  <c r="P50" i="3"/>
  <c r="S50" i="3" s="1"/>
  <c r="T50" i="3" s="1"/>
  <c r="U50" i="3" s="1"/>
  <c r="H61" i="1" l="1"/>
  <c r="N61" i="1" s="1"/>
  <c r="P61" i="1" s="1"/>
  <c r="R61" i="1" s="1"/>
  <c r="S61" i="1" s="1"/>
  <c r="T61" i="1" s="1"/>
  <c r="I61" i="1"/>
  <c r="F62" i="1" s="1"/>
  <c r="P51" i="3"/>
  <c r="S51" i="3" s="1"/>
  <c r="T51" i="3" s="1"/>
  <c r="U51" i="3" s="1"/>
  <c r="V51" i="3" s="1"/>
  <c r="H62" i="1" l="1"/>
  <c r="N62" i="1" s="1"/>
  <c r="P62" i="1" s="1"/>
  <c r="R62" i="1" s="1"/>
  <c r="S62" i="1" s="1"/>
  <c r="T62" i="1" s="1"/>
  <c r="AC13" i="3"/>
  <c r="AL10" i="3"/>
  <c r="AC25" i="3"/>
  <c r="AC26" i="3" s="1"/>
  <c r="AC12" i="3" s="1"/>
  <c r="I62" i="1" l="1"/>
  <c r="F63" i="1" s="1"/>
  <c r="H63" i="1"/>
  <c r="N63" i="1" s="1"/>
  <c r="I63" i="1"/>
  <c r="AC14" i="3"/>
  <c r="AC15" i="3"/>
  <c r="AC17" i="3"/>
  <c r="AL12" i="3"/>
  <c r="AL14" i="3"/>
  <c r="X60" i="1" l="1"/>
  <c r="X62" i="1" s="1"/>
  <c r="X63" i="1" s="1"/>
  <c r="AP28" i="1"/>
  <c r="P63" i="1"/>
  <c r="N64" i="1"/>
  <c r="O65" i="1" s="1"/>
  <c r="AF22" i="1"/>
  <c r="P52" i="3"/>
  <c r="S52" i="3" s="1"/>
  <c r="T52" i="3" s="1"/>
  <c r="U52" i="3" s="1"/>
  <c r="AF25" i="1" l="1"/>
  <c r="AF26" i="1" s="1"/>
  <c r="P64" i="1"/>
  <c r="R63" i="1"/>
  <c r="P53" i="3"/>
  <c r="S53" i="3" s="1"/>
  <c r="T53" i="3" s="1"/>
  <c r="U53" i="3" s="1"/>
  <c r="AF12" i="1" l="1"/>
  <c r="AC41" i="1"/>
  <c r="AD42" i="1" s="1"/>
  <c r="S63" i="1"/>
  <c r="T63" i="1" s="1"/>
  <c r="U63" i="1" s="1"/>
  <c r="R64" i="1"/>
  <c r="AH10" i="1"/>
  <c r="AF17" i="1"/>
  <c r="AF15" i="1"/>
  <c r="AF14" i="1"/>
  <c r="P54" i="3"/>
  <c r="S54" i="3" s="1"/>
  <c r="T54" i="3" s="1"/>
  <c r="U54" i="3" s="1"/>
  <c r="AH13" i="1" l="1"/>
  <c r="AG41" i="1"/>
  <c r="AH42" i="1" s="1"/>
  <c r="AI42" i="1" s="1"/>
  <c r="P56" i="3"/>
  <c r="S56" i="3" s="1"/>
  <c r="P55" i="3"/>
  <c r="S55" i="3" s="1"/>
  <c r="T55" i="3" s="1"/>
  <c r="U55" i="3" s="1"/>
  <c r="T56" i="3" l="1"/>
  <c r="U56" i="3" s="1"/>
  <c r="P57" i="3" l="1"/>
  <c r="S57" i="3" s="1"/>
  <c r="T57" i="3" s="1"/>
  <c r="U57" i="3" s="1"/>
  <c r="P58" i="3" l="1"/>
  <c r="S58" i="3" s="1"/>
  <c r="T58" i="3" s="1"/>
  <c r="U58" i="3" s="1"/>
  <c r="P59" i="3" l="1"/>
  <c r="S59" i="3" s="1"/>
  <c r="T59" i="3" s="1"/>
  <c r="U59" i="3" s="1"/>
  <c r="P60" i="3" l="1"/>
  <c r="S60" i="3" s="1"/>
  <c r="T60" i="3" s="1"/>
  <c r="U60" i="3" s="1"/>
  <c r="P61" i="3" l="1"/>
  <c r="S61" i="3" s="1"/>
  <c r="T61" i="3" s="1"/>
  <c r="U61" i="3" s="1"/>
  <c r="P62" i="3" l="1"/>
  <c r="S62" i="3" s="1"/>
  <c r="T62" i="3" s="1"/>
  <c r="U62" i="3" s="1"/>
  <c r="P63" i="3" l="1"/>
  <c r="AD13" i="3" l="1"/>
  <c r="AF13" i="3" s="1"/>
  <c r="AM10" i="3"/>
  <c r="AD25" i="3"/>
  <c r="AD26" i="3" s="1"/>
  <c r="AD12" i="3" s="1"/>
  <c r="S63" i="3"/>
  <c r="P64" i="3"/>
  <c r="T63" i="3" l="1"/>
  <c r="U63" i="3" s="1"/>
  <c r="V63" i="3" s="1"/>
  <c r="S64" i="3"/>
  <c r="AD14" i="3"/>
  <c r="AD15" i="3"/>
  <c r="AD17" i="3"/>
  <c r="AM12" i="3"/>
  <c r="AM14" i="3" s="1"/>
</calcChain>
</file>

<file path=xl/sharedStrings.xml><?xml version="1.0" encoding="utf-8"?>
<sst xmlns="http://schemas.openxmlformats.org/spreadsheetml/2006/main" count="318" uniqueCount="98">
  <si>
    <t>contrato de arrendamiento de un terreno</t>
  </si>
  <si>
    <t>Pago</t>
  </si>
  <si>
    <t>Plazo</t>
  </si>
  <si>
    <t>meses</t>
  </si>
  <si>
    <t>CONTABILIDAD DE ARRENDATARIOS OPERATIVOS (NIIF 16)</t>
  </si>
  <si>
    <t>Tasa de interés</t>
  </si>
  <si>
    <t>incremental</t>
  </si>
  <si>
    <t>VP</t>
  </si>
  <si>
    <t>Paso 1: Calcular el VP de los pagos</t>
  </si>
  <si>
    <t>Paso 2: Registro contable</t>
  </si>
  <si>
    <t>Activo DU</t>
  </si>
  <si>
    <t>Pasivo por A.</t>
  </si>
  <si>
    <t>D</t>
  </si>
  <si>
    <t>H</t>
  </si>
  <si>
    <t>Paso 3: Tratamiento posterior del ADU</t>
  </si>
  <si>
    <t>Gasto por deprec</t>
  </si>
  <si>
    <t>x60</t>
  </si>
  <si>
    <t>Paso 4: Tratamiento posterior del Pasivo</t>
  </si>
  <si>
    <t>SI</t>
  </si>
  <si>
    <t>(-) PAGOS</t>
  </si>
  <si>
    <t>(+) CF</t>
  </si>
  <si>
    <t>SF</t>
  </si>
  <si>
    <t>Gasto financiero</t>
  </si>
  <si>
    <t>Efectivo</t>
  </si>
  <si>
    <t>Saldo del pasivo</t>
  </si>
  <si>
    <t>COSTO AMORTIZADO</t>
  </si>
  <si>
    <t>DEPREC</t>
  </si>
  <si>
    <t>CF</t>
  </si>
  <si>
    <t>GASTOS TAX</t>
  </si>
  <si>
    <t>PAGOS</t>
  </si>
  <si>
    <t>SUMA</t>
  </si>
  <si>
    <t>DIFER.</t>
  </si>
  <si>
    <t>TEMPORAL</t>
  </si>
  <si>
    <t>TEMPORARIA</t>
  </si>
  <si>
    <t>ACTIVO</t>
  </si>
  <si>
    <t>IRD</t>
  </si>
  <si>
    <t>VL Pasivo</t>
  </si>
  <si>
    <t>VL Activo</t>
  </si>
  <si>
    <t>Dif Temporaria</t>
  </si>
  <si>
    <t>AIRD</t>
  </si>
  <si>
    <t>Met del balance</t>
  </si>
  <si>
    <t>Met del resultado</t>
  </si>
  <si>
    <t>Año 1</t>
  </si>
  <si>
    <t>Año 2</t>
  </si>
  <si>
    <t>Año 3</t>
  </si>
  <si>
    <t>Año 4</t>
  </si>
  <si>
    <t>Año 5</t>
  </si>
  <si>
    <t>Ventas</t>
  </si>
  <si>
    <t>Costo de v</t>
  </si>
  <si>
    <t>:</t>
  </si>
  <si>
    <t>Utilidad antes de imp</t>
  </si>
  <si>
    <t>Impuesto a la renta</t>
  </si>
  <si>
    <t xml:space="preserve">  Corriente</t>
  </si>
  <si>
    <t>Utilidad neta</t>
  </si>
  <si>
    <t>EXTRA CONTABLE</t>
  </si>
  <si>
    <t>CONCILIACION TRIBUTARIA:</t>
  </si>
  <si>
    <t>UTILIDAD CONTABLE</t>
  </si>
  <si>
    <t>UTILIDAD TRIBUTARIA</t>
  </si>
  <si>
    <t>(+) GASTO FIN</t>
  </si>
  <si>
    <t>(+) DEPRECIACION</t>
  </si>
  <si>
    <t>Impuesto corriente</t>
  </si>
  <si>
    <t>C+D</t>
  </si>
  <si>
    <t>WHATSAPP</t>
  </si>
  <si>
    <t>PROFESOR FREDDY LLANTO</t>
  </si>
  <si>
    <t>Soles</t>
  </si>
  <si>
    <t>Gasto por impuesto a la renta</t>
  </si>
  <si>
    <t>Impuesto por pagar</t>
  </si>
  <si>
    <t>Diferido</t>
  </si>
  <si>
    <t>Se PAGA</t>
  </si>
  <si>
    <t>Tasa legal</t>
  </si>
  <si>
    <t>CONTABILIDAD DE ARRENDADOR OPERATIVOS (NIIF 16)</t>
  </si>
  <si>
    <t>INGRESO NIIF</t>
  </si>
  <si>
    <t>INGRESO</t>
  </si>
  <si>
    <t>INGRESOS</t>
  </si>
  <si>
    <t>TAX</t>
  </si>
  <si>
    <t>SE AJUSTA 10% CADA AÑO</t>
  </si>
  <si>
    <t>(-) ingresos NIIF</t>
  </si>
  <si>
    <t>(+) ingresos TAX</t>
  </si>
  <si>
    <t>contrato de arrendamiento de un terreno/maquinaria</t>
  </si>
  <si>
    <t>GASTOS NIIF 16</t>
  </si>
  <si>
    <t>CONCILIACION TRIBUTARIA: EXTRA CONTABLE</t>
  </si>
  <si>
    <t xml:space="preserve">  Diferido</t>
  </si>
  <si>
    <t>Activo IRD</t>
  </si>
  <si>
    <t>Metodo del Balance</t>
  </si>
  <si>
    <t>VL del Pasivo</t>
  </si>
  <si>
    <t>VL del Activo</t>
  </si>
  <si>
    <t>Neto</t>
  </si>
  <si>
    <t>Flujo</t>
  </si>
  <si>
    <t>del dinero</t>
  </si>
  <si>
    <t>FACTURAS</t>
  </si>
  <si>
    <t>TESORERO=&gt; PAGA</t>
  </si>
  <si>
    <t>Facturas por cobrar</t>
  </si>
  <si>
    <t>Ingresos por arrendamiento</t>
  </si>
  <si>
    <t>Facturas por cobrar-E</t>
  </si>
  <si>
    <t>VL</t>
  </si>
  <si>
    <t>BT</t>
  </si>
  <si>
    <t>DT</t>
  </si>
  <si>
    <t>PIRD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</si>
</sst>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%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4" fillId="2" borderId="0" xfId="0" applyFont="1" applyFill="1"/>
    <xf numFmtId="3" fontId="2" fillId="0" borderId="0" xfId="0" applyNumberFormat="1" applyFont="1"/>
    <xf numFmtId="3" fontId="2" fillId="3" borderId="0" xfId="0" applyNumberFormat="1" applyFont="1" applyFill="1"/>
    <xf numFmtId="0" fontId="5" fillId="0" borderId="0" xfId="0" applyFont="1"/>
    <xf numFmtId="3" fontId="5" fillId="4" borderId="0" xfId="0" applyNumberFormat="1" applyFont="1" applyFill="1"/>
    <xf numFmtId="0" fontId="3" fillId="5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center"/>
    </xf>
    <xf numFmtId="3" fontId="2" fillId="6" borderId="0" xfId="0" applyNumberFormat="1" applyFont="1" applyFill="1"/>
    <xf numFmtId="0" fontId="2" fillId="6" borderId="0" xfId="0" applyFont="1" applyFill="1"/>
    <xf numFmtId="0" fontId="5" fillId="6" borderId="0" xfId="0" applyFont="1" applyFill="1"/>
    <xf numFmtId="3" fontId="5" fillId="6" borderId="0" xfId="0" applyNumberFormat="1" applyFont="1" applyFill="1"/>
    <xf numFmtId="0" fontId="7" fillId="2" borderId="0" xfId="0" applyFont="1" applyFill="1"/>
    <xf numFmtId="0" fontId="5" fillId="4" borderId="2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5" fillId="0" borderId="7" xfId="0" applyFont="1" applyBorder="1"/>
    <xf numFmtId="3" fontId="5" fillId="0" borderId="8" xfId="0" applyNumberFormat="1" applyFont="1" applyBorder="1"/>
    <xf numFmtId="3" fontId="5" fillId="0" borderId="9" xfId="0" applyNumberFormat="1" applyFont="1" applyBorder="1"/>
    <xf numFmtId="0" fontId="2" fillId="7" borderId="3" xfId="0" applyFont="1" applyFill="1" applyBorder="1"/>
    <xf numFmtId="0" fontId="2" fillId="7" borderId="4" xfId="0" applyFont="1" applyFill="1" applyBorder="1"/>
    <xf numFmtId="0" fontId="2" fillId="7" borderId="5" xfId="0" applyFont="1" applyFill="1" applyBorder="1"/>
    <xf numFmtId="0" fontId="5" fillId="7" borderId="5" xfId="0" applyFont="1" applyFill="1" applyBorder="1"/>
    <xf numFmtId="3" fontId="5" fillId="7" borderId="0" xfId="0" applyNumberFormat="1" applyFont="1" applyFill="1"/>
    <xf numFmtId="0" fontId="5" fillId="7" borderId="2" xfId="0" applyFont="1" applyFill="1" applyBorder="1"/>
    <xf numFmtId="10" fontId="5" fillId="7" borderId="0" xfId="0" applyNumberFormat="1" applyFont="1" applyFill="1"/>
    <xf numFmtId="0" fontId="5" fillId="7" borderId="0" xfId="0" applyFont="1" applyFill="1"/>
    <xf numFmtId="3" fontId="5" fillId="7" borderId="6" xfId="0" applyNumberFormat="1" applyFont="1" applyFill="1" applyBorder="1"/>
    <xf numFmtId="0" fontId="9" fillId="0" borderId="5" xfId="0" applyFont="1" applyBorder="1"/>
    <xf numFmtId="3" fontId="9" fillId="0" borderId="6" xfId="0" applyNumberFormat="1" applyFont="1" applyBorder="1"/>
    <xf numFmtId="3" fontId="9" fillId="0" borderId="1" xfId="0" applyNumberFormat="1" applyFont="1" applyBorder="1"/>
    <xf numFmtId="0" fontId="5" fillId="10" borderId="0" xfId="0" applyFont="1" applyFill="1"/>
    <xf numFmtId="3" fontId="5" fillId="10" borderId="0" xfId="0" applyNumberFormat="1" applyFont="1" applyFill="1"/>
    <xf numFmtId="164" fontId="5" fillId="10" borderId="0" xfId="0" applyNumberFormat="1" applyFont="1" applyFill="1"/>
    <xf numFmtId="3" fontId="2" fillId="10" borderId="0" xfId="0" applyNumberFormat="1" applyFont="1" applyFill="1"/>
    <xf numFmtId="3" fontId="2" fillId="11" borderId="0" xfId="0" applyNumberFormat="1" applyFont="1" applyFill="1"/>
    <xf numFmtId="3" fontId="5" fillId="11" borderId="0" xfId="0" applyNumberFormat="1" applyFont="1" applyFill="1"/>
    <xf numFmtId="0" fontId="5" fillId="11" borderId="0" xfId="0" applyFont="1" applyFill="1"/>
    <xf numFmtId="0" fontId="2" fillId="11" borderId="0" xfId="0" applyFont="1" applyFill="1"/>
    <xf numFmtId="0" fontId="6" fillId="12" borderId="0" xfId="0" applyFont="1" applyFill="1"/>
    <xf numFmtId="3" fontId="2" fillId="0" borderId="6" xfId="0" applyNumberFormat="1" applyFont="1" applyBorder="1"/>
    <xf numFmtId="0" fontId="2" fillId="13" borderId="2" xfId="0" applyFont="1" applyFill="1" applyBorder="1"/>
    <xf numFmtId="0" fontId="2" fillId="13" borderId="3" xfId="0" applyFont="1" applyFill="1" applyBorder="1"/>
    <xf numFmtId="165" fontId="2" fillId="13" borderId="3" xfId="0" applyNumberFormat="1" applyFont="1" applyFill="1" applyBorder="1"/>
    <xf numFmtId="0" fontId="2" fillId="13" borderId="4" xfId="0" applyFont="1" applyFill="1" applyBorder="1"/>
    <xf numFmtId="0" fontId="2" fillId="13" borderId="7" xfId="0" applyFont="1" applyFill="1" applyBorder="1"/>
    <xf numFmtId="0" fontId="2" fillId="13" borderId="8" xfId="0" applyFont="1" applyFill="1" applyBorder="1"/>
    <xf numFmtId="165" fontId="2" fillId="13" borderId="9" xfId="0" applyNumberFormat="1" applyFont="1" applyFill="1" applyBorder="1"/>
    <xf numFmtId="0" fontId="5" fillId="7" borderId="10" xfId="0" applyFont="1" applyFill="1" applyBorder="1"/>
    <xf numFmtId="3" fontId="5" fillId="7" borderId="11" xfId="0" applyNumberFormat="1" applyFont="1" applyFill="1" applyBorder="1"/>
    <xf numFmtId="3" fontId="5" fillId="7" borderId="12" xfId="0" applyNumberFormat="1" applyFont="1" applyFill="1" applyBorder="1"/>
    <xf numFmtId="0" fontId="2" fillId="13" borderId="10" xfId="0" applyFont="1" applyFill="1" applyBorder="1"/>
    <xf numFmtId="165" fontId="2" fillId="13" borderId="11" xfId="1" applyNumberFormat="1" applyFont="1" applyFill="1" applyBorder="1"/>
    <xf numFmtId="165" fontId="2" fillId="13" borderId="12" xfId="1" applyNumberFormat="1" applyFont="1" applyFill="1" applyBorder="1"/>
    <xf numFmtId="0" fontId="2" fillId="13" borderId="10" xfId="0" applyFont="1" applyFill="1" applyBorder="1" applyAlignment="1">
      <alignment horizontal="center"/>
    </xf>
    <xf numFmtId="0" fontId="2" fillId="13" borderId="12" xfId="0" applyFont="1" applyFill="1" applyBorder="1" applyAlignment="1">
      <alignment horizontal="center"/>
    </xf>
    <xf numFmtId="2" fontId="2" fillId="0" borderId="0" xfId="0" applyNumberFormat="1" applyFont="1"/>
    <xf numFmtId="3" fontId="9" fillId="0" borderId="0" xfId="0" applyNumberFormat="1" applyFont="1"/>
    <xf numFmtId="3" fontId="5" fillId="3" borderId="0" xfId="0" applyNumberFormat="1" applyFont="1" applyFill="1"/>
    <xf numFmtId="3" fontId="5" fillId="0" borderId="0" xfId="0" applyNumberFormat="1" applyFont="1"/>
    <xf numFmtId="0" fontId="5" fillId="0" borderId="5" xfId="0" applyFont="1" applyBorder="1"/>
    <xf numFmtId="165" fontId="5" fillId="0" borderId="0" xfId="0" applyNumberFormat="1" applyFont="1"/>
    <xf numFmtId="165" fontId="5" fillId="0" borderId="6" xfId="0" applyNumberFormat="1" applyFont="1" applyBorder="1"/>
    <xf numFmtId="10" fontId="5" fillId="0" borderId="0" xfId="0" applyNumberFormat="1" applyFont="1"/>
    <xf numFmtId="0" fontId="10" fillId="8" borderId="2" xfId="0" applyFont="1" applyFill="1" applyBorder="1"/>
    <xf numFmtId="0" fontId="10" fillId="8" borderId="3" xfId="0" applyFont="1" applyFill="1" applyBorder="1"/>
    <xf numFmtId="0" fontId="10" fillId="8" borderId="4" xfId="0" applyFont="1" applyFill="1" applyBorder="1"/>
    <xf numFmtId="0" fontId="10" fillId="8" borderId="5" xfId="0" applyFont="1" applyFill="1" applyBorder="1"/>
    <xf numFmtId="0" fontId="10" fillId="8" borderId="0" xfId="0" applyFont="1" applyFill="1"/>
    <xf numFmtId="0" fontId="10" fillId="8" borderId="6" xfId="0" applyFont="1" applyFill="1" applyBorder="1"/>
    <xf numFmtId="0" fontId="0" fillId="9" borderId="5" xfId="0" applyFill="1" applyBorder="1"/>
    <xf numFmtId="0" fontId="0" fillId="9" borderId="0" xfId="0" applyFill="1"/>
    <xf numFmtId="0" fontId="0" fillId="9" borderId="6" xfId="0" applyFill="1" applyBorder="1"/>
    <xf numFmtId="0" fontId="0" fillId="9" borderId="7" xfId="0" applyFill="1" applyBorder="1"/>
    <xf numFmtId="0" fontId="0" fillId="9" borderId="8" xfId="0" applyFill="1" applyBorder="1"/>
    <xf numFmtId="0" fontId="0" fillId="9" borderId="9" xfId="0" applyFill="1" applyBorder="1"/>
    <xf numFmtId="0" fontId="2" fillId="7" borderId="2" xfId="0" applyFont="1" applyFill="1" applyBorder="1"/>
    <xf numFmtId="0" fontId="2" fillId="7" borderId="7" xfId="0" applyFont="1" applyFill="1" applyBorder="1"/>
    <xf numFmtId="3" fontId="2" fillId="0" borderId="8" xfId="0" applyNumberFormat="1" applyFont="1" applyBorder="1"/>
    <xf numFmtId="3" fontId="2" fillId="0" borderId="9" xfId="0" applyNumberFormat="1" applyFont="1" applyBorder="1"/>
    <xf numFmtId="0" fontId="0" fillId="2" borderId="0" xfId="0" applyFill="1"/>
    <xf numFmtId="0" fontId="5" fillId="14" borderId="0" xfId="0" applyFont="1" applyFill="1"/>
    <xf numFmtId="3" fontId="5" fillId="14" borderId="0" xfId="0" applyNumberFormat="1" applyFont="1" applyFill="1"/>
    <xf numFmtId="0" fontId="5" fillId="15" borderId="0" xfId="0" applyFont="1" applyFill="1"/>
    <xf numFmtId="164" fontId="5" fillId="15" borderId="0" xfId="0" applyNumberFormat="1" applyFont="1" applyFill="1"/>
    <xf numFmtId="0" fontId="2" fillId="15" borderId="0" xfId="0" applyFont="1" applyFill="1"/>
    <xf numFmtId="3" fontId="2" fillId="15" borderId="0" xfId="0" applyNumberFormat="1" applyFont="1" applyFill="1"/>
    <xf numFmtId="3" fontId="5" fillId="15" borderId="0" xfId="0" applyNumberFormat="1" applyFont="1" applyFill="1"/>
    <xf numFmtId="0" fontId="5" fillId="15" borderId="0" xfId="0" applyFont="1" applyFill="1" applyAlignment="1">
      <alignment horizontal="center"/>
    </xf>
    <xf numFmtId="3" fontId="2" fillId="16" borderId="0" xfId="0" applyNumberFormat="1" applyFont="1" applyFill="1"/>
    <xf numFmtId="0" fontId="5" fillId="15" borderId="10" xfId="0" applyFont="1" applyFill="1" applyBorder="1"/>
    <xf numFmtId="0" fontId="5" fillId="15" borderId="11" xfId="0" applyFont="1" applyFill="1" applyBorder="1"/>
    <xf numFmtId="3" fontId="5" fillId="15" borderId="12" xfId="0" applyNumberFormat="1" applyFont="1" applyFill="1" applyBorder="1"/>
    <xf numFmtId="3" fontId="2" fillId="13" borderId="0" xfId="0" applyNumberFormat="1" applyFont="1" applyFill="1"/>
    <xf numFmtId="0" fontId="6" fillId="17" borderId="10" xfId="0" applyFont="1" applyFill="1" applyBorder="1"/>
    <xf numFmtId="0" fontId="6" fillId="17" borderId="11" xfId="0" applyFont="1" applyFill="1" applyBorder="1"/>
    <xf numFmtId="3" fontId="6" fillId="17" borderId="12" xfId="0" applyNumberFormat="1" applyFont="1" applyFill="1" applyBorder="1"/>
    <xf numFmtId="0" fontId="6" fillId="12" borderId="10" xfId="0" applyFont="1" applyFill="1" applyBorder="1"/>
    <xf numFmtId="3" fontId="6" fillId="12" borderId="11" xfId="0" applyNumberFormat="1" applyFont="1" applyFill="1" applyBorder="1"/>
    <xf numFmtId="3" fontId="6" fillId="12" borderId="12" xfId="0" applyNumberFormat="1" applyFont="1" applyFill="1" applyBorder="1"/>
    <xf numFmtId="0" fontId="5" fillId="13" borderId="7" xfId="0" applyFont="1" applyFill="1" applyBorder="1"/>
    <xf numFmtId="0" fontId="5" fillId="13" borderId="8" xfId="0" applyFont="1" applyFill="1" applyBorder="1"/>
    <xf numFmtId="165" fontId="5" fillId="13" borderId="9" xfId="0" applyNumberFormat="1" applyFont="1" applyFill="1" applyBorder="1"/>
    <xf numFmtId="165" fontId="9" fillId="0" borderId="0" xfId="0" applyNumberFormat="1" applyFont="1"/>
    <xf numFmtId="165" fontId="9" fillId="0" borderId="6" xfId="0" applyNumberFormat="1" applyFont="1" applyBorder="1"/>
    <xf numFmtId="2" fontId="5" fillId="13" borderId="0" xfId="0" applyNumberFormat="1" applyFont="1" applyFill="1"/>
    <xf numFmtId="10" fontId="5" fillId="13" borderId="0" xfId="0" applyNumberFormat="1" applyFont="1" applyFill="1"/>
    <xf numFmtId="0" fontId="2" fillId="0" borderId="0" xfId="0" applyFont="1" applyAlignment="1">
      <alignment horizontal="center"/>
    </xf>
    <xf numFmtId="3" fontId="5" fillId="13" borderId="0" xfId="0" applyNumberFormat="1" applyFont="1" applyFill="1"/>
    <xf numFmtId="165" fontId="2" fillId="18" borderId="1" xfId="0" applyNumberFormat="1" applyFont="1" applyFill="1" applyBorder="1"/>
    <xf numFmtId="165" fontId="2" fillId="7" borderId="1" xfId="1" applyNumberFormat="1" applyFont="1" applyFill="1" applyBorder="1"/>
    <xf numFmtId="0" fontId="2" fillId="13" borderId="3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3" fontId="2" fillId="0" borderId="0" xfId="0" applyNumberFormat="1" applyFont="1" applyBorder="1"/>
    <xf numFmtId="0" fontId="5" fillId="19" borderId="5" xfId="0" applyFont="1" applyFill="1" applyBorder="1"/>
    <xf numFmtId="3" fontId="5" fillId="19" borderId="0" xfId="0" applyNumberFormat="1" applyFont="1" applyFill="1" applyBorder="1"/>
    <xf numFmtId="3" fontId="5" fillId="19" borderId="6" xfId="0" applyNumberFormat="1" applyFont="1" applyFill="1" applyBorder="1"/>
    <xf numFmtId="0" fontId="2" fillId="0" borderId="7" xfId="0" applyFont="1" applyBorder="1"/>
    <xf numFmtId="0" fontId="2" fillId="0" borderId="0" xfId="0" applyFont="1" applyBorder="1"/>
    <xf numFmtId="3" fontId="5" fillId="7" borderId="0" xfId="0" applyNumberFormat="1" applyFont="1" applyFill="1" applyBorder="1"/>
    <xf numFmtId="165" fontId="9" fillId="0" borderId="0" xfId="0" applyNumberFormat="1" applyFont="1" applyBorder="1"/>
    <xf numFmtId="3" fontId="9" fillId="0" borderId="0" xfId="0" applyNumberFormat="1" applyFont="1" applyBorder="1"/>
    <xf numFmtId="0" fontId="6" fillId="5" borderId="0" xfId="0" applyFont="1" applyFill="1" applyAlignment="1">
      <alignment horizontal="left"/>
    </xf>
    <xf numFmtId="3" fontId="2" fillId="7" borderId="0" xfId="0" applyNumberFormat="1" applyFont="1" applyFill="1"/>
    <xf numFmtId="3" fontId="2" fillId="20" borderId="0" xfId="0" applyNumberFormat="1" applyFont="1" applyFill="1"/>
    <xf numFmtId="0" fontId="5" fillId="18" borderId="10" xfId="0" applyFont="1" applyFill="1" applyBorder="1"/>
    <xf numFmtId="3" fontId="5" fillId="18" borderId="11" xfId="0" applyNumberFormat="1" applyFont="1" applyFill="1" applyBorder="1"/>
    <xf numFmtId="3" fontId="5" fillId="18" borderId="12" xfId="0" applyNumberFormat="1" applyFont="1" applyFill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6" xfId="0" applyNumberFormat="1" applyFont="1" applyBorder="1"/>
    <xf numFmtId="9" fontId="5" fillId="7" borderId="0" xfId="0" applyNumberFormat="1" applyFont="1" applyFill="1"/>
    <xf numFmtId="165" fontId="2" fillId="18" borderId="1" xfId="1" applyNumberFormat="1" applyFont="1" applyFill="1" applyBorder="1"/>
    <xf numFmtId="0" fontId="11" fillId="0" borderId="0" xfId="0" applyFont="1"/>
    <xf numFmtId="3" fontId="11" fillId="0" borderId="0" xfId="0" applyNumberFormat="1" applyFont="1"/>
    <xf numFmtId="0" fontId="12" fillId="0" borderId="0" xfId="0" applyFont="1"/>
    <xf numFmtId="3" fontId="12" fillId="0" borderId="0" xfId="0" applyNumberFormat="1" applyFont="1"/>
    <xf numFmtId="0" fontId="11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2" fillId="21" borderId="6" xfId="0" applyNumberFormat="1" applyFont="1" applyFill="1" applyBorder="1"/>
    <xf numFmtId="3" fontId="9" fillId="21" borderId="0" xfId="0" applyNumberFormat="1" applyFont="1" applyFill="1" applyBorder="1"/>
    <xf numFmtId="3" fontId="5" fillId="21" borderId="0" xfId="0" applyNumberFormat="1" applyFont="1" applyFill="1"/>
    <xf numFmtId="3" fontId="5" fillId="21" borderId="6" xfId="0" applyNumberFormat="1" applyFont="1" applyFill="1" applyBorder="1"/>
    <xf numFmtId="3" fontId="5" fillId="21" borderId="9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277586</xdr:colOff>
      <xdr:row>3</xdr:row>
      <xdr:rowOff>73479</xdr:rowOff>
    </xdr:from>
    <xdr:to>
      <xdr:col>4</xdr:col>
      <xdr:colOff>497011</xdr:colOff>
      <xdr:row>16</xdr:row>
      <xdr:rowOff>102404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189DCC-DADD-4D29-BC5B-0ACACBA65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472" y="644979"/>
          <a:ext cx="2505425" cy="250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E0A86-0FE7-45EB-8B02-6CB2096538EC}">
  <dimension ref="A1:AQ65"/>
  <sheetViews>
    <sheetView tabSelected="1" topLeftCell="T1" zoomScale="145" zoomScaleNormal="145" workbookViewId="0">
      <selection activeCell="AB15" sqref="AB15"/>
    </sheetView>
  </sheetViews>
  <sheetFormatPr baseColWidth="10" defaultRowHeight="15.75" x14ac:dyDescent="0.25"/>
  <cols>
    <col min="1" max="1" width="18.7109375" style="1" customWidth="1"/>
    <col min="2" max="4" width="11.42578125" style="1"/>
    <col min="5" max="5" width="3.42578125" style="1" bestFit="1" customWidth="1"/>
    <col min="6" max="9" width="11.42578125" style="1"/>
    <col min="10" max="12" width="4.5703125" style="1" customWidth="1"/>
    <col min="13" max="13" width="3.42578125" style="1" bestFit="1" customWidth="1"/>
    <col min="14" max="16" width="10.5703125" style="1" bestFit="1" customWidth="1"/>
    <col min="17" max="17" width="13.28515625" style="1" bestFit="1" customWidth="1"/>
    <col min="18" max="18" width="11.85546875" style="1" bestFit="1" customWidth="1"/>
    <col min="19" max="19" width="14.140625" style="1" bestFit="1" customWidth="1"/>
    <col min="20" max="20" width="10.5703125" style="1" customWidth="1"/>
    <col min="21" max="21" width="11.42578125" style="5" hidden="1" customWidth="1"/>
    <col min="22" max="22" width="3.5703125" style="1" hidden="1" customWidth="1"/>
    <col min="23" max="23" width="15" style="1" hidden="1" customWidth="1"/>
    <col min="24" max="24" width="11.42578125" style="1" hidden="1" customWidth="1"/>
    <col min="25" max="25" width="2.140625" style="1" hidden="1" customWidth="1"/>
    <col min="26" max="26" width="2.140625" style="1" customWidth="1"/>
    <col min="27" max="27" width="16.85546875" style="1" customWidth="1"/>
    <col min="28" max="32" width="13.140625" style="1" bestFit="1" customWidth="1"/>
    <col min="33" max="33" width="11.28515625" style="1" customWidth="1"/>
    <col min="34" max="34" width="11.7109375" style="1" bestFit="1" customWidth="1"/>
    <col min="35" max="35" width="8.85546875" style="1" bestFit="1" customWidth="1"/>
    <col min="36" max="36" width="4.7109375" style="1" customWidth="1"/>
    <col min="37" max="37" width="19.7109375" style="1" bestFit="1" customWidth="1"/>
    <col min="38" max="16384" width="11.42578125" style="1"/>
  </cols>
  <sheetData>
    <row r="1" spans="1:34" s="2" customFormat="1" ht="23.25" x14ac:dyDescent="0.35">
      <c r="A1" s="2" t="s">
        <v>4</v>
      </c>
      <c r="U1" s="14"/>
    </row>
    <row r="2" spans="1:34" ht="16.5" thickBot="1" x14ac:dyDescent="0.3">
      <c r="A2" s="1" t="s">
        <v>78</v>
      </c>
      <c r="E2" s="8" t="s">
        <v>25</v>
      </c>
      <c r="F2" s="8"/>
      <c r="G2" s="7"/>
      <c r="H2" s="7"/>
      <c r="I2" s="7"/>
      <c r="M2" s="41" t="s">
        <v>79</v>
      </c>
      <c r="N2" s="42"/>
      <c r="O2" s="42"/>
      <c r="P2" s="42"/>
      <c r="Q2" s="43" t="s">
        <v>28</v>
      </c>
      <c r="R2" s="9" t="s">
        <v>31</v>
      </c>
      <c r="S2" s="9" t="s">
        <v>31</v>
      </c>
      <c r="T2" s="9" t="s">
        <v>34</v>
      </c>
      <c r="U2" s="67">
        <v>0.3</v>
      </c>
    </row>
    <row r="3" spans="1:34" x14ac:dyDescent="0.25">
      <c r="A3" s="89"/>
      <c r="B3" s="89"/>
      <c r="C3" s="89"/>
      <c r="E3" s="7"/>
      <c r="F3" s="9" t="s">
        <v>18</v>
      </c>
      <c r="G3" s="9" t="s">
        <v>19</v>
      </c>
      <c r="H3" s="9" t="s">
        <v>20</v>
      </c>
      <c r="I3" s="9" t="s">
        <v>21</v>
      </c>
      <c r="M3" s="7"/>
      <c r="N3" s="9" t="s">
        <v>27</v>
      </c>
      <c r="O3" s="9" t="s">
        <v>26</v>
      </c>
      <c r="P3" s="9" t="s">
        <v>30</v>
      </c>
      <c r="Q3" s="9" t="s">
        <v>29</v>
      </c>
      <c r="R3" s="9" t="s">
        <v>32</v>
      </c>
      <c r="S3" s="9" t="s">
        <v>33</v>
      </c>
      <c r="T3" s="9" t="s">
        <v>35</v>
      </c>
      <c r="AA3" s="15"/>
      <c r="AB3" s="16" t="s">
        <v>42</v>
      </c>
      <c r="AC3" s="16" t="s">
        <v>43</v>
      </c>
      <c r="AD3" s="16" t="s">
        <v>44</v>
      </c>
      <c r="AE3" s="16" t="s">
        <v>45</v>
      </c>
      <c r="AF3" s="17" t="s">
        <v>46</v>
      </c>
    </row>
    <row r="4" spans="1:34" x14ac:dyDescent="0.25">
      <c r="A4" s="85" t="s">
        <v>1</v>
      </c>
      <c r="B4" s="86">
        <v>100000</v>
      </c>
      <c r="C4" s="85" t="s">
        <v>64</v>
      </c>
      <c r="E4" s="7">
        <v>1</v>
      </c>
      <c r="F4" s="90">
        <f>+C15</f>
        <v>4540458.8790286267</v>
      </c>
      <c r="G4" s="90">
        <f>-B4</f>
        <v>-100000</v>
      </c>
      <c r="H4" s="90">
        <f>(F4+G4)*$B$7</f>
        <v>44404.588790286267</v>
      </c>
      <c r="I4" s="90">
        <f>+F4+G4+H4</f>
        <v>4484863.467818913</v>
      </c>
      <c r="M4" s="7">
        <v>1</v>
      </c>
      <c r="N4" s="3">
        <f>+H4</f>
        <v>44404.588790286267</v>
      </c>
      <c r="O4" s="3">
        <f>+B19</f>
        <v>75674.314650477114</v>
      </c>
      <c r="P4" s="10">
        <f>+N4+O4</f>
        <v>120078.90344076339</v>
      </c>
      <c r="Q4" s="3">
        <f>+B4</f>
        <v>100000</v>
      </c>
      <c r="R4" s="3">
        <f>+P4-Q4</f>
        <v>20078.903440763388</v>
      </c>
      <c r="S4" s="3">
        <f>+R4</f>
        <v>20078.903440763388</v>
      </c>
      <c r="T4" s="3">
        <f>+S4*$U$2</f>
        <v>6023.6710322290164</v>
      </c>
      <c r="AA4" s="18" t="s">
        <v>47</v>
      </c>
      <c r="AB4" s="122"/>
      <c r="AC4" s="122"/>
      <c r="AD4" s="122"/>
      <c r="AE4" s="122"/>
      <c r="AF4" s="19"/>
    </row>
    <row r="5" spans="1:34" x14ac:dyDescent="0.25">
      <c r="A5" s="85" t="s">
        <v>2</v>
      </c>
      <c r="B5" s="85">
        <v>60</v>
      </c>
      <c r="C5" s="85" t="s">
        <v>3</v>
      </c>
      <c r="E5" s="7">
        <f>+E4+1</f>
        <v>2</v>
      </c>
      <c r="F5" s="90">
        <f>+I4</f>
        <v>4484863.467818913</v>
      </c>
      <c r="G5" s="90">
        <f>+G4</f>
        <v>-100000</v>
      </c>
      <c r="H5" s="90">
        <f>(F5+G5)*$B$7</f>
        <v>43848.634678189133</v>
      </c>
      <c r="I5" s="90">
        <f>+F5+G5+H5</f>
        <v>4428712.1024971018</v>
      </c>
      <c r="M5" s="7">
        <f>+M4+1</f>
        <v>2</v>
      </c>
      <c r="N5" s="3">
        <f t="shared" ref="N5:N63" si="0">+H5</f>
        <v>43848.634678189133</v>
      </c>
      <c r="O5" s="3">
        <f>+O4</f>
        <v>75674.314650477114</v>
      </c>
      <c r="P5" s="10">
        <f>+N5+O5</f>
        <v>119522.94932866625</v>
      </c>
      <c r="Q5" s="3">
        <f>+Q4</f>
        <v>100000</v>
      </c>
      <c r="R5" s="3">
        <f>+P5-Q5</f>
        <v>19522.949328666247</v>
      </c>
      <c r="S5" s="3">
        <f>+R5+S4</f>
        <v>39601.852769429635</v>
      </c>
      <c r="T5" s="3">
        <f>+S5*$U$2</f>
        <v>11880.555830828891</v>
      </c>
      <c r="AA5" s="18" t="s">
        <v>48</v>
      </c>
      <c r="AB5" s="122"/>
      <c r="AC5" s="122"/>
      <c r="AD5" s="122"/>
      <c r="AE5" s="122"/>
      <c r="AF5" s="19"/>
    </row>
    <row r="6" spans="1:34" x14ac:dyDescent="0.25">
      <c r="A6" s="87" t="s">
        <v>5</v>
      </c>
      <c r="B6" s="87"/>
      <c r="C6" s="87"/>
      <c r="E6" s="7">
        <f t="shared" ref="E6:E63" si="1">+E5+1</f>
        <v>3</v>
      </c>
      <c r="F6" s="90">
        <f>+I5</f>
        <v>4428712.1024971018</v>
      </c>
      <c r="G6" s="90">
        <f>+G5</f>
        <v>-100000</v>
      </c>
      <c r="H6" s="90">
        <f>(F6+G6)*$B$7</f>
        <v>43287.12102497102</v>
      </c>
      <c r="I6" s="90">
        <f>+F6+G6+H6</f>
        <v>4371999.2235220727</v>
      </c>
      <c r="M6" s="7">
        <f t="shared" ref="M6:M63" si="2">+M5+1</f>
        <v>3</v>
      </c>
      <c r="N6" s="3">
        <f t="shared" si="0"/>
        <v>43287.12102497102</v>
      </c>
      <c r="O6" s="3">
        <f>+O5</f>
        <v>75674.314650477114</v>
      </c>
      <c r="P6" s="10">
        <f>+N6+O6</f>
        <v>118961.43567544813</v>
      </c>
      <c r="Q6" s="3">
        <f>+Q5</f>
        <v>100000</v>
      </c>
      <c r="R6" s="3">
        <f>+P6-Q6</f>
        <v>18961.435675448127</v>
      </c>
      <c r="S6" s="3">
        <f>+R6+S5</f>
        <v>58563.288444877762</v>
      </c>
      <c r="T6" s="3">
        <f>+S6*$U$2</f>
        <v>17568.986533463329</v>
      </c>
      <c r="AA6" s="18" t="s">
        <v>49</v>
      </c>
      <c r="AB6" s="122"/>
      <c r="AC6" s="122"/>
      <c r="AD6" s="122"/>
      <c r="AE6" s="122"/>
      <c r="AF6" s="19"/>
    </row>
    <row r="7" spans="1:34" x14ac:dyDescent="0.25">
      <c r="A7" s="87" t="s">
        <v>6</v>
      </c>
      <c r="B7" s="88">
        <v>0.01</v>
      </c>
      <c r="C7" s="87"/>
      <c r="E7" s="7">
        <f t="shared" si="1"/>
        <v>4</v>
      </c>
      <c r="F7" s="90">
        <f t="shared" ref="F7:F10" si="3">+I6</f>
        <v>4371999.2235220727</v>
      </c>
      <c r="G7" s="90">
        <f t="shared" ref="G7:G10" si="4">+G6</f>
        <v>-100000</v>
      </c>
      <c r="H7" s="90">
        <f t="shared" ref="H7:H10" si="5">(F7+G7)*$B$7</f>
        <v>42719.992235220729</v>
      </c>
      <c r="I7" s="90">
        <f t="shared" ref="I7:I10" si="6">+F7+G7+H7</f>
        <v>4314719.2157572936</v>
      </c>
      <c r="M7" s="7">
        <f t="shared" si="2"/>
        <v>4</v>
      </c>
      <c r="N7" s="3">
        <f t="shared" si="0"/>
        <v>42719.992235220729</v>
      </c>
      <c r="O7" s="3">
        <f>+O6</f>
        <v>75674.314650477114</v>
      </c>
      <c r="P7" s="10">
        <f>+N7+O7</f>
        <v>118394.30688569785</v>
      </c>
      <c r="Q7" s="3">
        <f>+Q6</f>
        <v>100000</v>
      </c>
      <c r="R7" s="3">
        <f>+P7-Q7</f>
        <v>18394.30688569785</v>
      </c>
      <c r="S7" s="3">
        <f>+R7+S6</f>
        <v>76957.595330575612</v>
      </c>
      <c r="T7" s="3">
        <f>+S7*$U$2</f>
        <v>23087.278599172681</v>
      </c>
      <c r="AA7" s="18" t="s">
        <v>49</v>
      </c>
      <c r="AB7" s="122"/>
      <c r="AC7" s="122"/>
      <c r="AD7" s="122"/>
      <c r="AE7" s="122"/>
      <c r="AF7" s="19"/>
    </row>
    <row r="8" spans="1:34" x14ac:dyDescent="0.25">
      <c r="A8" s="89"/>
      <c r="B8" s="89"/>
      <c r="C8" s="89"/>
      <c r="E8" s="7">
        <f t="shared" si="1"/>
        <v>5</v>
      </c>
      <c r="F8" s="90">
        <f t="shared" si="3"/>
        <v>4314719.2157572936</v>
      </c>
      <c r="G8" s="90">
        <f t="shared" si="4"/>
        <v>-100000</v>
      </c>
      <c r="H8" s="90">
        <f t="shared" si="5"/>
        <v>42147.192157572936</v>
      </c>
      <c r="I8" s="90">
        <f t="shared" si="6"/>
        <v>4256866.4079148667</v>
      </c>
      <c r="M8" s="7">
        <f t="shared" si="2"/>
        <v>5</v>
      </c>
      <c r="N8" s="3">
        <f t="shared" si="0"/>
        <v>42147.192157572936</v>
      </c>
      <c r="O8" s="3">
        <f t="shared" ref="O8:O63" si="7">+O7</f>
        <v>75674.314650477114</v>
      </c>
      <c r="P8" s="10">
        <f>+N8+O8</f>
        <v>117821.50680805005</v>
      </c>
      <c r="Q8" s="3">
        <f>+Q7</f>
        <v>100000</v>
      </c>
      <c r="R8" s="3">
        <f>+P8-Q8</f>
        <v>17821.50680805005</v>
      </c>
      <c r="S8" s="3">
        <f>+R8+S7</f>
        <v>94779.102138625662</v>
      </c>
      <c r="T8" s="3">
        <f>+S8*$U$2</f>
        <v>28433.730641587699</v>
      </c>
      <c r="AA8" s="18" t="s">
        <v>49</v>
      </c>
      <c r="AB8" s="122"/>
      <c r="AC8" s="122"/>
      <c r="AD8" s="122"/>
      <c r="AE8" s="122"/>
      <c r="AF8" s="19"/>
    </row>
    <row r="9" spans="1:34" x14ac:dyDescent="0.25">
      <c r="A9" s="87" t="s">
        <v>8</v>
      </c>
      <c r="B9" s="89"/>
      <c r="C9" s="89"/>
      <c r="E9" s="7">
        <f t="shared" si="1"/>
        <v>6</v>
      </c>
      <c r="F9" s="90">
        <f t="shared" si="3"/>
        <v>4256866.4079148667</v>
      </c>
      <c r="G9" s="90">
        <f t="shared" si="4"/>
        <v>-100000</v>
      </c>
      <c r="H9" s="90">
        <f t="shared" si="5"/>
        <v>41568.664079148664</v>
      </c>
      <c r="I9" s="90">
        <f t="shared" si="6"/>
        <v>4198435.071994015</v>
      </c>
      <c r="M9" s="7">
        <f t="shared" si="2"/>
        <v>6</v>
      </c>
      <c r="N9" s="3">
        <f t="shared" si="0"/>
        <v>41568.664079148664</v>
      </c>
      <c r="O9" s="3">
        <f t="shared" si="7"/>
        <v>75674.314650477114</v>
      </c>
      <c r="P9" s="10">
        <f>+N9+O9</f>
        <v>117242.97872962579</v>
      </c>
      <c r="Q9" s="3">
        <f>+Q8</f>
        <v>100000</v>
      </c>
      <c r="R9" s="3">
        <f>+P9-Q9</f>
        <v>17242.978729625785</v>
      </c>
      <c r="S9" s="3">
        <f>+R9+S8</f>
        <v>112022.08086825145</v>
      </c>
      <c r="T9" s="3">
        <f>+S9*$U$2</f>
        <v>33606.62426047543</v>
      </c>
      <c r="AA9" s="18" t="s">
        <v>49</v>
      </c>
      <c r="AB9" s="122"/>
      <c r="AC9" s="122"/>
      <c r="AD9" s="122"/>
      <c r="AE9" s="122"/>
      <c r="AF9" s="19"/>
      <c r="AH9" s="5" t="s">
        <v>68</v>
      </c>
    </row>
    <row r="10" spans="1:34" x14ac:dyDescent="0.25">
      <c r="A10" s="87" t="s">
        <v>7</v>
      </c>
      <c r="B10" s="91">
        <f>PV(B7,B5,-B4,0,1)</f>
        <v>4540458.8790286267</v>
      </c>
      <c r="C10" s="87"/>
      <c r="E10" s="7">
        <f t="shared" si="1"/>
        <v>7</v>
      </c>
      <c r="F10" s="90">
        <f t="shared" si="3"/>
        <v>4198435.071994015</v>
      </c>
      <c r="G10" s="90">
        <f t="shared" si="4"/>
        <v>-100000</v>
      </c>
      <c r="H10" s="90">
        <f t="shared" si="5"/>
        <v>40984.35071994015</v>
      </c>
      <c r="I10" s="90">
        <f t="shared" si="6"/>
        <v>4139419.4227139549</v>
      </c>
      <c r="M10" s="7">
        <f t="shared" si="2"/>
        <v>7</v>
      </c>
      <c r="N10" s="3">
        <f t="shared" si="0"/>
        <v>40984.35071994015</v>
      </c>
      <c r="O10" s="3">
        <f t="shared" si="7"/>
        <v>75674.314650477114</v>
      </c>
      <c r="P10" s="10">
        <f>+N10+O10</f>
        <v>116658.66537041726</v>
      </c>
      <c r="Q10" s="3">
        <f>+Q9</f>
        <v>100000</v>
      </c>
      <c r="R10" s="3">
        <f>+P10-Q10</f>
        <v>16658.665370417264</v>
      </c>
      <c r="S10" s="3">
        <f>+R10+S9</f>
        <v>128680.74623866871</v>
      </c>
      <c r="T10" s="3">
        <f>+S10*$U$2</f>
        <v>38604.22387160061</v>
      </c>
      <c r="AA10" s="26" t="s">
        <v>50</v>
      </c>
      <c r="AB10" s="123">
        <v>800000</v>
      </c>
      <c r="AC10" s="123">
        <v>800000</v>
      </c>
      <c r="AD10" s="123">
        <v>800000</v>
      </c>
      <c r="AE10" s="123">
        <v>800000</v>
      </c>
      <c r="AF10" s="31">
        <v>800000</v>
      </c>
      <c r="AH10" s="107">
        <f>SUM(AB12:AF12)</f>
        <v>-1200000.0000000012</v>
      </c>
    </row>
    <row r="11" spans="1:34" x14ac:dyDescent="0.25">
      <c r="A11" s="89"/>
      <c r="B11" s="89"/>
      <c r="C11" s="89"/>
      <c r="E11" s="7">
        <f t="shared" si="1"/>
        <v>8</v>
      </c>
      <c r="F11" s="90">
        <f t="shared" ref="F11:F30" si="8">+I10</f>
        <v>4139419.4227139549</v>
      </c>
      <c r="G11" s="90">
        <f t="shared" ref="G11:G30" si="9">+G10</f>
        <v>-100000</v>
      </c>
      <c r="H11" s="90">
        <f t="shared" ref="H11:H30" si="10">(F11+G11)*$B$7</f>
        <v>40394.194227139553</v>
      </c>
      <c r="I11" s="90">
        <f t="shared" ref="I11:I30" si="11">+F11+G11+H11</f>
        <v>4079813.6169410944</v>
      </c>
      <c r="M11" s="7">
        <f t="shared" si="2"/>
        <v>8</v>
      </c>
      <c r="N11" s="3">
        <f t="shared" si="0"/>
        <v>40394.194227139553</v>
      </c>
      <c r="O11" s="3">
        <f t="shared" si="7"/>
        <v>75674.314650477114</v>
      </c>
      <c r="P11" s="10">
        <f>+N11+O11</f>
        <v>116068.50887761667</v>
      </c>
      <c r="Q11" s="3">
        <f>+Q10</f>
        <v>100000</v>
      </c>
      <c r="R11" s="3">
        <f>+P11-Q11</f>
        <v>16068.508877616667</v>
      </c>
      <c r="S11" s="3">
        <f>+R11+S10</f>
        <v>144749.25511628538</v>
      </c>
      <c r="T11" s="3">
        <f>+S11*$U$2</f>
        <v>43424.776534885612</v>
      </c>
      <c r="AA11" s="18" t="s">
        <v>51</v>
      </c>
      <c r="AB11" s="122"/>
      <c r="AC11" s="122"/>
      <c r="AD11" s="122"/>
      <c r="AE11" s="122"/>
      <c r="AF11" s="19"/>
      <c r="AH11" s="107">
        <v>-240000</v>
      </c>
    </row>
    <row r="12" spans="1:34" s="5" customFormat="1" x14ac:dyDescent="0.25">
      <c r="A12" s="87" t="s">
        <v>9</v>
      </c>
      <c r="B12" s="87"/>
      <c r="C12" s="87"/>
      <c r="E12" s="8">
        <f t="shared" si="1"/>
        <v>9</v>
      </c>
      <c r="F12" s="91">
        <f t="shared" si="8"/>
        <v>4079813.6169410944</v>
      </c>
      <c r="G12" s="91">
        <f t="shared" si="9"/>
        <v>-100000</v>
      </c>
      <c r="H12" s="91">
        <f t="shared" si="10"/>
        <v>39798.136169410944</v>
      </c>
      <c r="I12" s="91">
        <f t="shared" si="11"/>
        <v>4019611.7531105052</v>
      </c>
      <c r="M12" s="8">
        <f t="shared" si="2"/>
        <v>9</v>
      </c>
      <c r="N12" s="63">
        <f t="shared" si="0"/>
        <v>39798.136169410944</v>
      </c>
      <c r="O12" s="63">
        <f t="shared" si="7"/>
        <v>75674.314650477114</v>
      </c>
      <c r="P12" s="13">
        <f>+N12+O12</f>
        <v>115472.45081988806</v>
      </c>
      <c r="Q12" s="63">
        <f>+Q11</f>
        <v>100000</v>
      </c>
      <c r="R12" s="63">
        <f>+P12-Q12</f>
        <v>15472.450819888065</v>
      </c>
      <c r="S12" s="63">
        <f>+R12+S11</f>
        <v>160221.70593617344</v>
      </c>
      <c r="T12" s="63">
        <f>+S12*$U$2</f>
        <v>48066.51178085203</v>
      </c>
      <c r="W12" s="5" t="s">
        <v>36</v>
      </c>
      <c r="X12" s="63">
        <f>I15</f>
        <v>3835369.9088415066</v>
      </c>
      <c r="AA12" s="32" t="s">
        <v>52</v>
      </c>
      <c r="AB12" s="124">
        <f>+AB26</f>
        <v>-300900.84168558178</v>
      </c>
      <c r="AC12" s="124">
        <f>+AC26</f>
        <v>-274073.96271867154</v>
      </c>
      <c r="AD12" s="124">
        <f>+AD26</f>
        <v>-243844.76401843622</v>
      </c>
      <c r="AE12" s="124">
        <f>+AE26</f>
        <v>-209781.74628217812</v>
      </c>
      <c r="AF12" s="108">
        <f>+AF26</f>
        <v>-171398.68529513341</v>
      </c>
    </row>
    <row r="13" spans="1:34" x14ac:dyDescent="0.25">
      <c r="A13" s="87"/>
      <c r="B13" s="92" t="s">
        <v>12</v>
      </c>
      <c r="C13" s="92" t="s">
        <v>13</v>
      </c>
      <c r="E13" s="7">
        <f t="shared" si="1"/>
        <v>10</v>
      </c>
      <c r="F13" s="90">
        <f t="shared" si="8"/>
        <v>4019611.7531105052</v>
      </c>
      <c r="G13" s="90">
        <f t="shared" si="9"/>
        <v>-100000</v>
      </c>
      <c r="H13" s="90">
        <f t="shared" si="10"/>
        <v>39196.117531105054</v>
      </c>
      <c r="I13" s="90">
        <f t="shared" si="11"/>
        <v>3958807.8706416101</v>
      </c>
      <c r="M13" s="7">
        <f t="shared" si="2"/>
        <v>10</v>
      </c>
      <c r="N13" s="3">
        <f t="shared" si="0"/>
        <v>39196.117531105054</v>
      </c>
      <c r="O13" s="3">
        <f t="shared" si="7"/>
        <v>75674.314650477114</v>
      </c>
      <c r="P13" s="10">
        <f>+N13+O13</f>
        <v>114870.43218158217</v>
      </c>
      <c r="Q13" s="3">
        <f>+Q12</f>
        <v>100000</v>
      </c>
      <c r="R13" s="3">
        <f>+P13-Q13</f>
        <v>14870.432181582175</v>
      </c>
      <c r="S13" s="3">
        <f>+R13+S12</f>
        <v>175092.13811775562</v>
      </c>
      <c r="T13" s="3">
        <f>+S13*$U$2</f>
        <v>52527.641435326681</v>
      </c>
      <c r="W13" s="5" t="s">
        <v>37</v>
      </c>
      <c r="X13" s="63">
        <f>B14-B19*12</f>
        <v>3632367.1032229015</v>
      </c>
      <c r="AA13" s="32" t="s">
        <v>81</v>
      </c>
      <c r="AB13" s="125">
        <f>+$AH$11-AB12</f>
        <v>60900.841685581778</v>
      </c>
      <c r="AC13" s="125">
        <f>+$AH$11-AC12</f>
        <v>34073.962718671537</v>
      </c>
      <c r="AD13" s="125">
        <f>+$AH$11-AD12</f>
        <v>3844.7640184362244</v>
      </c>
      <c r="AE13" s="125">
        <f>+$AH$11-AE12</f>
        <v>-30218.253717821877</v>
      </c>
      <c r="AF13" s="33">
        <f>+$AH$11-AF12</f>
        <v>-68601.314704866585</v>
      </c>
      <c r="AH13" s="107">
        <f>SUM(AB13:AF13)</f>
        <v>1.076841726899147E-9</v>
      </c>
    </row>
    <row r="14" spans="1:34" ht="16.5" thickBot="1" x14ac:dyDescent="0.3">
      <c r="A14" s="89" t="s">
        <v>10</v>
      </c>
      <c r="B14" s="90">
        <f>+B10</f>
        <v>4540458.8790286267</v>
      </c>
      <c r="C14" s="89"/>
      <c r="E14" s="7">
        <f t="shared" si="1"/>
        <v>11</v>
      </c>
      <c r="F14" s="90">
        <f t="shared" si="8"/>
        <v>3958807.8706416101</v>
      </c>
      <c r="G14" s="90">
        <f t="shared" si="9"/>
        <v>-100000</v>
      </c>
      <c r="H14" s="90">
        <f t="shared" si="10"/>
        <v>38588.078706416105</v>
      </c>
      <c r="I14" s="90">
        <f t="shared" si="11"/>
        <v>3897395.9493480264</v>
      </c>
      <c r="M14" s="7">
        <f t="shared" si="2"/>
        <v>11</v>
      </c>
      <c r="N14" s="3">
        <f t="shared" si="0"/>
        <v>38588.078706416105</v>
      </c>
      <c r="O14" s="3">
        <f t="shared" si="7"/>
        <v>75674.314650477114</v>
      </c>
      <c r="P14" s="10">
        <f>+N14+O14</f>
        <v>114262.39335689321</v>
      </c>
      <c r="Q14" s="3">
        <f>+Q13</f>
        <v>100000</v>
      </c>
      <c r="R14" s="3">
        <f>+P14-Q14</f>
        <v>14262.393356893212</v>
      </c>
      <c r="S14" s="3">
        <f>+R14+S13</f>
        <v>189354.53147464883</v>
      </c>
      <c r="T14" s="3">
        <f>+S14*$U$2</f>
        <v>56806.359442394649</v>
      </c>
      <c r="W14" s="5" t="s">
        <v>38</v>
      </c>
      <c r="X14" s="63">
        <f>+X12-X13</f>
        <v>203002.80561860511</v>
      </c>
      <c r="AA14" s="20" t="s">
        <v>53</v>
      </c>
      <c r="AB14" s="21">
        <f>SUM(AB10:AB13)</f>
        <v>560000</v>
      </c>
      <c r="AC14" s="21">
        <f t="shared" ref="AC14:AF14" si="12">SUM(AC10:AC13)</f>
        <v>560000</v>
      </c>
      <c r="AD14" s="21">
        <f t="shared" si="12"/>
        <v>560000</v>
      </c>
      <c r="AE14" s="21">
        <f t="shared" si="12"/>
        <v>560000</v>
      </c>
      <c r="AF14" s="22">
        <f t="shared" si="12"/>
        <v>560000</v>
      </c>
    </row>
    <row r="15" spans="1:34" x14ac:dyDescent="0.25">
      <c r="A15" s="89" t="s">
        <v>11</v>
      </c>
      <c r="B15" s="90"/>
      <c r="C15" s="93">
        <f>+B14</f>
        <v>4540458.8790286267</v>
      </c>
      <c r="E15" s="7">
        <f t="shared" si="1"/>
        <v>12</v>
      </c>
      <c r="F15" s="97">
        <f t="shared" si="8"/>
        <v>3897395.9493480264</v>
      </c>
      <c r="G15" s="97">
        <f t="shared" si="9"/>
        <v>-100000</v>
      </c>
      <c r="H15" s="97">
        <f t="shared" si="10"/>
        <v>37973.959493480266</v>
      </c>
      <c r="I15" s="97">
        <f t="shared" si="11"/>
        <v>3835369.9088415066</v>
      </c>
      <c r="M15" s="7">
        <f t="shared" si="2"/>
        <v>12</v>
      </c>
      <c r="N15" s="3">
        <f t="shared" si="0"/>
        <v>37973.959493480266</v>
      </c>
      <c r="O15" s="3">
        <f t="shared" si="7"/>
        <v>75674.314650477114</v>
      </c>
      <c r="P15" s="10">
        <f>+N15+O15</f>
        <v>113648.27414395739</v>
      </c>
      <c r="Q15" s="10">
        <f t="shared" ref="Q15:Q63" si="13">+Q14</f>
        <v>100000</v>
      </c>
      <c r="R15" s="10">
        <f>+P15-Q15</f>
        <v>13648.274143957387</v>
      </c>
      <c r="S15" s="10">
        <f t="shared" ref="S5:S27" si="14">+R15+S14</f>
        <v>203002.80561860622</v>
      </c>
      <c r="T15" s="13">
        <f t="shared" ref="T15:T63" si="15">+S15*$U$2</f>
        <v>60900.841685581865</v>
      </c>
      <c r="U15" s="13">
        <f>+T15</f>
        <v>60900.841685581865</v>
      </c>
      <c r="W15" s="12" t="s">
        <v>39</v>
      </c>
      <c r="X15" s="13">
        <f>+X14*U2</f>
        <v>60900.84168558153</v>
      </c>
      <c r="AA15" s="109" t="s">
        <v>69</v>
      </c>
      <c r="AB15" s="110">
        <f>-(AB12+AB13)/AB10</f>
        <v>0.3</v>
      </c>
      <c r="AC15" s="110">
        <f t="shared" ref="AC15:AF15" si="16">-(AC12+AC13)/AC10</f>
        <v>0.3</v>
      </c>
      <c r="AD15" s="110">
        <f t="shared" si="16"/>
        <v>0.3</v>
      </c>
      <c r="AE15" s="110">
        <f t="shared" si="16"/>
        <v>0.3</v>
      </c>
      <c r="AF15" s="110">
        <f t="shared" si="16"/>
        <v>0.3</v>
      </c>
    </row>
    <row r="16" spans="1:34" x14ac:dyDescent="0.25">
      <c r="A16" s="89"/>
      <c r="B16" s="89"/>
      <c r="C16" s="89"/>
      <c r="E16" s="7">
        <f t="shared" si="1"/>
        <v>13</v>
      </c>
      <c r="F16" s="90">
        <f t="shared" si="8"/>
        <v>3835369.9088415066</v>
      </c>
      <c r="G16" s="90">
        <f t="shared" si="9"/>
        <v>-100000</v>
      </c>
      <c r="H16" s="90">
        <f t="shared" si="10"/>
        <v>37353.699088415065</v>
      </c>
      <c r="I16" s="90">
        <f t="shared" si="11"/>
        <v>3772723.6079299217</v>
      </c>
      <c r="M16" s="7">
        <f t="shared" si="2"/>
        <v>13</v>
      </c>
      <c r="N16" s="3">
        <f t="shared" si="0"/>
        <v>37353.699088415065</v>
      </c>
      <c r="O16" s="3">
        <f t="shared" si="7"/>
        <v>75674.314650477114</v>
      </c>
      <c r="P16" s="10">
        <f>+N16+O16</f>
        <v>113028.01373889219</v>
      </c>
      <c r="Q16" s="3">
        <f t="shared" si="13"/>
        <v>100000</v>
      </c>
      <c r="R16" s="3">
        <f>+P16-Q16</f>
        <v>13028.013738892187</v>
      </c>
      <c r="S16" s="3">
        <f t="shared" si="14"/>
        <v>216030.8193574984</v>
      </c>
      <c r="T16" s="3">
        <f t="shared" si="15"/>
        <v>64809.245807249521</v>
      </c>
      <c r="AB16" s="60"/>
      <c r="AC16" s="63"/>
      <c r="AD16" s="63"/>
      <c r="AE16" s="3"/>
      <c r="AF16" s="3"/>
    </row>
    <row r="17" spans="1:43" x14ac:dyDescent="0.25">
      <c r="A17" s="87" t="s">
        <v>14</v>
      </c>
      <c r="B17" s="89"/>
      <c r="C17" s="89"/>
      <c r="E17" s="7">
        <f t="shared" si="1"/>
        <v>14</v>
      </c>
      <c r="F17" s="90">
        <f t="shared" si="8"/>
        <v>3772723.6079299217</v>
      </c>
      <c r="G17" s="90">
        <f t="shared" si="9"/>
        <v>-100000</v>
      </c>
      <c r="H17" s="90">
        <f t="shared" si="10"/>
        <v>36727.236079299219</v>
      </c>
      <c r="I17" s="90">
        <f t="shared" si="11"/>
        <v>3709450.8440092211</v>
      </c>
      <c r="M17" s="7">
        <f t="shared" si="2"/>
        <v>14</v>
      </c>
      <c r="N17" s="3">
        <f t="shared" si="0"/>
        <v>36727.236079299219</v>
      </c>
      <c r="O17" s="3">
        <f t="shared" si="7"/>
        <v>75674.314650477114</v>
      </c>
      <c r="P17" s="10">
        <f t="shared" ref="P17:P19" si="17">+N17+O17</f>
        <v>112401.55072977633</v>
      </c>
      <c r="Q17" s="3">
        <f t="shared" si="13"/>
        <v>100000</v>
      </c>
      <c r="R17" s="3">
        <f>+P17-Q17</f>
        <v>12401.550729776325</v>
      </c>
      <c r="S17" s="3">
        <f t="shared" si="14"/>
        <v>228432.37008727473</v>
      </c>
      <c r="T17" s="3">
        <f t="shared" si="15"/>
        <v>68529.711026182413</v>
      </c>
      <c r="AA17" s="30" t="s">
        <v>61</v>
      </c>
      <c r="AB17" s="27">
        <f>+AB12+AB13</f>
        <v>-240000</v>
      </c>
      <c r="AC17" s="27">
        <f t="shared" ref="AC17:AF17" si="18">+AC12+AC13</f>
        <v>-240000</v>
      </c>
      <c r="AD17" s="27">
        <f t="shared" si="18"/>
        <v>-240000</v>
      </c>
      <c r="AE17" s="27">
        <f t="shared" si="18"/>
        <v>-240000</v>
      </c>
      <c r="AF17" s="27">
        <f t="shared" si="18"/>
        <v>-240000</v>
      </c>
    </row>
    <row r="18" spans="1:43" x14ac:dyDescent="0.25">
      <c r="A18" s="87"/>
      <c r="B18" s="92" t="s">
        <v>12</v>
      </c>
      <c r="C18" s="92" t="s">
        <v>13</v>
      </c>
      <c r="E18" s="7">
        <f t="shared" si="1"/>
        <v>15</v>
      </c>
      <c r="F18" s="90">
        <f t="shared" si="8"/>
        <v>3709450.8440092211</v>
      </c>
      <c r="G18" s="90">
        <f t="shared" si="9"/>
        <v>-100000</v>
      </c>
      <c r="H18" s="90">
        <f t="shared" si="10"/>
        <v>36094.508440092213</v>
      </c>
      <c r="I18" s="90">
        <f t="shared" si="11"/>
        <v>3645545.3524493133</v>
      </c>
      <c r="M18" s="7">
        <f t="shared" si="2"/>
        <v>15</v>
      </c>
      <c r="N18" s="3">
        <f t="shared" si="0"/>
        <v>36094.508440092213</v>
      </c>
      <c r="O18" s="3">
        <f t="shared" si="7"/>
        <v>75674.314650477114</v>
      </c>
      <c r="P18" s="10">
        <f t="shared" si="17"/>
        <v>111768.82309056932</v>
      </c>
      <c r="Q18" s="3">
        <f t="shared" si="13"/>
        <v>100000</v>
      </c>
      <c r="R18" s="3">
        <f>+P18-Q18</f>
        <v>11768.82309056932</v>
      </c>
      <c r="S18" s="3">
        <f t="shared" si="14"/>
        <v>240201.19317784405</v>
      </c>
      <c r="T18" s="3">
        <f t="shared" si="15"/>
        <v>72060.357953353217</v>
      </c>
    </row>
    <row r="19" spans="1:43" ht="16.5" thickBot="1" x14ac:dyDescent="0.3">
      <c r="A19" s="89" t="s">
        <v>15</v>
      </c>
      <c r="B19" s="90">
        <f>+B14/B5</f>
        <v>75674.314650477114</v>
      </c>
      <c r="C19" s="89"/>
      <c r="E19" s="7">
        <f t="shared" si="1"/>
        <v>16</v>
      </c>
      <c r="F19" s="90">
        <f t="shared" si="8"/>
        <v>3645545.3524493133</v>
      </c>
      <c r="G19" s="90">
        <f t="shared" si="9"/>
        <v>-100000</v>
      </c>
      <c r="H19" s="90">
        <f t="shared" si="10"/>
        <v>35455.453524493132</v>
      </c>
      <c r="I19" s="90">
        <f t="shared" si="11"/>
        <v>3581000.8059738064</v>
      </c>
      <c r="M19" s="7">
        <f t="shared" si="2"/>
        <v>16</v>
      </c>
      <c r="N19" s="3">
        <f t="shared" si="0"/>
        <v>35455.453524493132</v>
      </c>
      <c r="O19" s="3">
        <f t="shared" si="7"/>
        <v>75674.314650477114</v>
      </c>
      <c r="P19" s="10">
        <f t="shared" si="17"/>
        <v>111129.76817497025</v>
      </c>
      <c r="Q19" s="3">
        <f t="shared" si="13"/>
        <v>100000</v>
      </c>
      <c r="R19" s="3">
        <f>+P19-Q19</f>
        <v>11129.768174970246</v>
      </c>
      <c r="S19" s="3">
        <f t="shared" si="14"/>
        <v>251330.96135281428</v>
      </c>
      <c r="T19" s="3">
        <f t="shared" si="15"/>
        <v>75399.288405844287</v>
      </c>
    </row>
    <row r="20" spans="1:43" ht="16.5" thickBot="1" x14ac:dyDescent="0.3">
      <c r="A20" s="89" t="s">
        <v>10</v>
      </c>
      <c r="B20" s="90"/>
      <c r="C20" s="90">
        <f>+B19</f>
        <v>75674.314650477114</v>
      </c>
      <c r="D20" s="1" t="s">
        <v>16</v>
      </c>
      <c r="E20" s="7">
        <f t="shared" si="1"/>
        <v>17</v>
      </c>
      <c r="F20" s="90">
        <f t="shared" si="8"/>
        <v>3581000.8059738064</v>
      </c>
      <c r="G20" s="90">
        <f t="shared" si="9"/>
        <v>-100000</v>
      </c>
      <c r="H20" s="90">
        <f t="shared" si="10"/>
        <v>34810.008059738066</v>
      </c>
      <c r="I20" s="90">
        <f t="shared" si="11"/>
        <v>3515810.8140335446</v>
      </c>
      <c r="M20" s="7">
        <f t="shared" si="2"/>
        <v>17</v>
      </c>
      <c r="N20" s="3">
        <f t="shared" si="0"/>
        <v>34810.008059738066</v>
      </c>
      <c r="O20" s="3">
        <f t="shared" si="7"/>
        <v>75674.314650477114</v>
      </c>
      <c r="P20" s="10">
        <f t="shared" ref="P20:P63" si="19">+N20+O20</f>
        <v>110484.32271021517</v>
      </c>
      <c r="Q20" s="3">
        <f t="shared" si="13"/>
        <v>100000</v>
      </c>
      <c r="R20" s="3">
        <f>+P20-Q20</f>
        <v>10484.322710215172</v>
      </c>
      <c r="S20" s="3">
        <f t="shared" si="14"/>
        <v>261815.28406302945</v>
      </c>
      <c r="T20" s="3">
        <f t="shared" si="15"/>
        <v>78544.585218908833</v>
      </c>
      <c r="AA20" s="28" t="s">
        <v>80</v>
      </c>
      <c r="AB20" s="23"/>
      <c r="AC20" s="23"/>
      <c r="AD20" s="23"/>
      <c r="AE20" s="23"/>
      <c r="AF20" s="24"/>
    </row>
    <row r="21" spans="1:43" ht="16.5" thickBot="1" x14ac:dyDescent="0.3">
      <c r="A21" s="89"/>
      <c r="B21" s="89"/>
      <c r="C21" s="89"/>
      <c r="E21" s="7">
        <f t="shared" si="1"/>
        <v>18</v>
      </c>
      <c r="F21" s="90">
        <f t="shared" si="8"/>
        <v>3515810.8140335446</v>
      </c>
      <c r="G21" s="90">
        <f t="shared" si="9"/>
        <v>-100000</v>
      </c>
      <c r="H21" s="90">
        <f t="shared" si="10"/>
        <v>34158.108140335447</v>
      </c>
      <c r="I21" s="90">
        <f t="shared" si="11"/>
        <v>3449968.92217388</v>
      </c>
      <c r="M21" s="7">
        <f t="shared" si="2"/>
        <v>18</v>
      </c>
      <c r="N21" s="3">
        <f t="shared" si="0"/>
        <v>34158.108140335447</v>
      </c>
      <c r="O21" s="3">
        <f t="shared" si="7"/>
        <v>75674.314650477114</v>
      </c>
      <c r="P21" s="10">
        <f t="shared" si="19"/>
        <v>109832.42279081256</v>
      </c>
      <c r="Q21" s="3">
        <f t="shared" si="13"/>
        <v>100000</v>
      </c>
      <c r="R21" s="3">
        <f>+P21-Q21</f>
        <v>9832.4227908125613</v>
      </c>
      <c r="S21" s="3">
        <f t="shared" si="14"/>
        <v>271647.70685384201</v>
      </c>
      <c r="T21" s="3">
        <f t="shared" si="15"/>
        <v>81494.312056152601</v>
      </c>
      <c r="AA21" s="101" t="s">
        <v>56</v>
      </c>
      <c r="AB21" s="102">
        <f>+AB10</f>
        <v>800000</v>
      </c>
      <c r="AC21" s="102">
        <f>+AC10</f>
        <v>800000</v>
      </c>
      <c r="AD21" s="102">
        <f>+AD10</f>
        <v>800000</v>
      </c>
      <c r="AE21" s="102">
        <f>+AE10</f>
        <v>800000</v>
      </c>
      <c r="AF21" s="103">
        <f>+AF10</f>
        <v>800000</v>
      </c>
    </row>
    <row r="22" spans="1:43" x14ac:dyDescent="0.25">
      <c r="A22" s="87" t="s">
        <v>17</v>
      </c>
      <c r="B22" s="89"/>
      <c r="C22" s="89"/>
      <c r="E22" s="7">
        <f t="shared" si="1"/>
        <v>19</v>
      </c>
      <c r="F22" s="90">
        <f t="shared" si="8"/>
        <v>3449968.92217388</v>
      </c>
      <c r="G22" s="90">
        <f t="shared" si="9"/>
        <v>-100000</v>
      </c>
      <c r="H22" s="90">
        <f t="shared" si="10"/>
        <v>33499.689221738801</v>
      </c>
      <c r="I22" s="90">
        <f t="shared" si="11"/>
        <v>3383468.6113956189</v>
      </c>
      <c r="M22" s="7">
        <f t="shared" si="2"/>
        <v>19</v>
      </c>
      <c r="N22" s="3">
        <f t="shared" si="0"/>
        <v>33499.689221738801</v>
      </c>
      <c r="O22" s="3">
        <f t="shared" si="7"/>
        <v>75674.314650477114</v>
      </c>
      <c r="P22" s="10">
        <f t="shared" si="19"/>
        <v>109174.00387221592</v>
      </c>
      <c r="Q22" s="3">
        <f t="shared" si="13"/>
        <v>100000</v>
      </c>
      <c r="R22" s="3">
        <f>+P22-Q22</f>
        <v>9174.0038722159225</v>
      </c>
      <c r="S22" s="3">
        <f t="shared" si="14"/>
        <v>280821.71072605794</v>
      </c>
      <c r="T22" s="3">
        <f t="shared" si="15"/>
        <v>84246.513217817381</v>
      </c>
      <c r="AA22" s="25" t="s">
        <v>58</v>
      </c>
      <c r="AB22" s="3">
        <f>SUM(N4:N15)</f>
        <v>494911.02981288091</v>
      </c>
      <c r="AC22" s="3">
        <f>SUM(N16:N27)</f>
        <v>405488.09992317989</v>
      </c>
      <c r="AD22" s="3">
        <f>SUM(N28:N39)</f>
        <v>304724.1042557286</v>
      </c>
      <c r="AE22" s="3">
        <f>SUM(N40:N51)</f>
        <v>191180.71180153513</v>
      </c>
      <c r="AF22" s="44">
        <f>SUM(N52:N63)</f>
        <v>63237.175178052581</v>
      </c>
    </row>
    <row r="23" spans="1:43" x14ac:dyDescent="0.25">
      <c r="A23" s="87"/>
      <c r="B23" s="92" t="s">
        <v>12</v>
      </c>
      <c r="C23" s="92" t="s">
        <v>13</v>
      </c>
      <c r="E23" s="7">
        <f t="shared" si="1"/>
        <v>20</v>
      </c>
      <c r="F23" s="90">
        <f t="shared" si="8"/>
        <v>3383468.6113956189</v>
      </c>
      <c r="G23" s="90">
        <f t="shared" si="9"/>
        <v>-100000</v>
      </c>
      <c r="H23" s="90">
        <f t="shared" si="10"/>
        <v>32834.686113956188</v>
      </c>
      <c r="I23" s="90">
        <f t="shared" si="11"/>
        <v>3316303.2975095753</v>
      </c>
      <c r="M23" s="7">
        <f t="shared" si="2"/>
        <v>20</v>
      </c>
      <c r="N23" s="3">
        <f t="shared" si="0"/>
        <v>32834.686113956188</v>
      </c>
      <c r="O23" s="3">
        <f t="shared" si="7"/>
        <v>75674.314650477114</v>
      </c>
      <c r="P23" s="10">
        <f t="shared" si="19"/>
        <v>108509.00076443329</v>
      </c>
      <c r="Q23" s="3">
        <f t="shared" si="13"/>
        <v>100000</v>
      </c>
      <c r="R23" s="3">
        <f>+P23-Q23</f>
        <v>8509.0007644332945</v>
      </c>
      <c r="S23" s="3">
        <f t="shared" si="14"/>
        <v>289330.71149049123</v>
      </c>
      <c r="T23" s="3">
        <f t="shared" si="15"/>
        <v>86799.213447147369</v>
      </c>
      <c r="AA23" s="25" t="s">
        <v>59</v>
      </c>
      <c r="AB23" s="3">
        <f>+B19*12</f>
        <v>908091.77580572537</v>
      </c>
      <c r="AC23" s="3">
        <f>+AB23</f>
        <v>908091.77580572537</v>
      </c>
      <c r="AD23" s="3">
        <f t="shared" ref="AD23:AF23" si="20">+AC23</f>
        <v>908091.77580572537</v>
      </c>
      <c r="AE23" s="3">
        <f t="shared" si="20"/>
        <v>908091.77580572537</v>
      </c>
      <c r="AF23" s="44">
        <f t="shared" si="20"/>
        <v>908091.77580572537</v>
      </c>
    </row>
    <row r="24" spans="1:43" ht="16.5" thickBot="1" x14ac:dyDescent="0.3">
      <c r="A24" s="89" t="s">
        <v>22</v>
      </c>
      <c r="B24" s="90">
        <f>+H4</f>
        <v>44404.588790286267</v>
      </c>
      <c r="C24" s="89"/>
      <c r="E24" s="7">
        <f t="shared" si="1"/>
        <v>21</v>
      </c>
      <c r="F24" s="90">
        <f t="shared" si="8"/>
        <v>3316303.2975095753</v>
      </c>
      <c r="G24" s="90">
        <f t="shared" si="9"/>
        <v>-100000</v>
      </c>
      <c r="H24" s="90">
        <f t="shared" si="10"/>
        <v>32163.032975095753</v>
      </c>
      <c r="I24" s="90">
        <f t="shared" si="11"/>
        <v>3248466.3304846711</v>
      </c>
      <c r="M24" s="7">
        <f t="shared" si="2"/>
        <v>21</v>
      </c>
      <c r="N24" s="3">
        <f t="shared" si="0"/>
        <v>32163.032975095753</v>
      </c>
      <c r="O24" s="3">
        <f t="shared" si="7"/>
        <v>75674.314650477114</v>
      </c>
      <c r="P24" s="10">
        <f t="shared" si="19"/>
        <v>107837.34762557287</v>
      </c>
      <c r="Q24" s="3">
        <f t="shared" si="13"/>
        <v>100000</v>
      </c>
      <c r="R24" s="3">
        <f>+P24-Q24</f>
        <v>7837.3476255728747</v>
      </c>
      <c r="S24" s="3">
        <f t="shared" si="14"/>
        <v>297168.05911606411</v>
      </c>
      <c r="T24" s="3">
        <f t="shared" si="15"/>
        <v>89150.417734819232</v>
      </c>
      <c r="W24" s="5" t="s">
        <v>36</v>
      </c>
      <c r="X24" s="63">
        <f>+I27</f>
        <v>3040858.008764687</v>
      </c>
      <c r="AA24" s="25" t="s">
        <v>19</v>
      </c>
      <c r="AB24" s="3">
        <f>-100000*12</f>
        <v>-1200000</v>
      </c>
      <c r="AC24" s="3">
        <f t="shared" ref="AC24:AF24" si="21">-100000*12</f>
        <v>-1200000</v>
      </c>
      <c r="AD24" s="3">
        <f t="shared" si="21"/>
        <v>-1200000</v>
      </c>
      <c r="AE24" s="3">
        <f t="shared" si="21"/>
        <v>-1200000</v>
      </c>
      <c r="AF24" s="44">
        <f t="shared" si="21"/>
        <v>-1200000</v>
      </c>
      <c r="AG24" s="3"/>
    </row>
    <row r="25" spans="1:43" ht="16.5" thickBot="1" x14ac:dyDescent="0.3">
      <c r="A25" s="89" t="s">
        <v>11</v>
      </c>
      <c r="B25" s="90"/>
      <c r="C25" s="90">
        <f>+B24</f>
        <v>44404.588790286267</v>
      </c>
      <c r="E25" s="7">
        <f t="shared" si="1"/>
        <v>22</v>
      </c>
      <c r="F25" s="90">
        <f t="shared" si="8"/>
        <v>3248466.3304846711</v>
      </c>
      <c r="G25" s="90">
        <f t="shared" si="9"/>
        <v>-100000</v>
      </c>
      <c r="H25" s="90">
        <f t="shared" si="10"/>
        <v>31484.663304846712</v>
      </c>
      <c r="I25" s="90">
        <f t="shared" si="11"/>
        <v>3179950.9937895178</v>
      </c>
      <c r="M25" s="7">
        <f t="shared" si="2"/>
        <v>22</v>
      </c>
      <c r="N25" s="3">
        <f t="shared" si="0"/>
        <v>31484.663304846712</v>
      </c>
      <c r="O25" s="3">
        <f t="shared" si="7"/>
        <v>75674.314650477114</v>
      </c>
      <c r="P25" s="10">
        <f t="shared" si="19"/>
        <v>107158.97795532382</v>
      </c>
      <c r="Q25" s="3">
        <f t="shared" si="13"/>
        <v>100000</v>
      </c>
      <c r="R25" s="3">
        <f>+P25-Q25</f>
        <v>7158.9779553238186</v>
      </c>
      <c r="S25" s="3">
        <f t="shared" si="14"/>
        <v>304327.03707138792</v>
      </c>
      <c r="T25" s="3">
        <f t="shared" si="15"/>
        <v>91298.111121416368</v>
      </c>
      <c r="W25" s="5" t="s">
        <v>37</v>
      </c>
      <c r="X25" s="63">
        <f>+X13-B19*12</f>
        <v>2724275.3274171762</v>
      </c>
      <c r="AA25" s="101" t="s">
        <v>57</v>
      </c>
      <c r="AB25" s="102">
        <f>SUM(AB21:AB24)</f>
        <v>1003002.805618606</v>
      </c>
      <c r="AC25" s="102">
        <f t="shared" ref="AC25:AF25" si="22">SUM(AC21:AC24)</f>
        <v>913579.8757289052</v>
      </c>
      <c r="AD25" s="102">
        <f t="shared" si="22"/>
        <v>812815.88006145414</v>
      </c>
      <c r="AE25" s="102">
        <f t="shared" si="22"/>
        <v>699272.48760726047</v>
      </c>
      <c r="AF25" s="103">
        <f t="shared" si="22"/>
        <v>571328.95098377811</v>
      </c>
    </row>
    <row r="26" spans="1:43" ht="16.5" thickBot="1" x14ac:dyDescent="0.3">
      <c r="A26" s="89"/>
      <c r="B26" s="89"/>
      <c r="C26" s="89"/>
      <c r="E26" s="7">
        <f t="shared" si="1"/>
        <v>23</v>
      </c>
      <c r="F26" s="90">
        <f t="shared" si="8"/>
        <v>3179950.9937895178</v>
      </c>
      <c r="G26" s="90">
        <f t="shared" si="9"/>
        <v>-100000</v>
      </c>
      <c r="H26" s="90">
        <f t="shared" si="10"/>
        <v>30799.509937895178</v>
      </c>
      <c r="I26" s="90">
        <f t="shared" si="11"/>
        <v>3110750.5037274128</v>
      </c>
      <c r="M26" s="7">
        <f t="shared" si="2"/>
        <v>23</v>
      </c>
      <c r="N26" s="3">
        <f t="shared" si="0"/>
        <v>30799.509937895178</v>
      </c>
      <c r="O26" s="3">
        <f t="shared" si="7"/>
        <v>75674.314650477114</v>
      </c>
      <c r="P26" s="10">
        <f t="shared" si="19"/>
        <v>106473.82458837228</v>
      </c>
      <c r="Q26" s="3">
        <f t="shared" si="13"/>
        <v>100000</v>
      </c>
      <c r="R26" s="3">
        <f>+P26-Q26</f>
        <v>6473.8245883722848</v>
      </c>
      <c r="S26" s="3">
        <f t="shared" si="14"/>
        <v>310800.86165976024</v>
      </c>
      <c r="T26" s="3">
        <f t="shared" si="15"/>
        <v>93240.258497928065</v>
      </c>
      <c r="W26" s="1" t="s">
        <v>38</v>
      </c>
      <c r="X26" s="3">
        <f>+X24-X25</f>
        <v>316582.68134751078</v>
      </c>
      <c r="AA26" s="55" t="s">
        <v>60</v>
      </c>
      <c r="AB26" s="56">
        <f>-AB25*$AA$27</f>
        <v>-300900.84168558178</v>
      </c>
      <c r="AC26" s="56">
        <f>-AC25*$AA$27</f>
        <v>-274073.96271867154</v>
      </c>
      <c r="AD26" s="56">
        <f>-AD25*$AA$27</f>
        <v>-243844.76401843622</v>
      </c>
      <c r="AE26" s="56">
        <f>-AE25*$AA$27</f>
        <v>-209781.74628217812</v>
      </c>
      <c r="AF26" s="57">
        <f>-AF25*$AA$27</f>
        <v>-171398.68529513341</v>
      </c>
    </row>
    <row r="27" spans="1:43" ht="16.5" thickBot="1" x14ac:dyDescent="0.3">
      <c r="A27" s="87"/>
      <c r="B27" s="92" t="s">
        <v>12</v>
      </c>
      <c r="C27" s="92" t="s">
        <v>13</v>
      </c>
      <c r="E27" s="7">
        <f t="shared" si="1"/>
        <v>24</v>
      </c>
      <c r="F27" s="97">
        <f t="shared" si="8"/>
        <v>3110750.5037274128</v>
      </c>
      <c r="G27" s="97">
        <f t="shared" si="9"/>
        <v>-100000</v>
      </c>
      <c r="H27" s="97">
        <f t="shared" si="10"/>
        <v>30107.505037274128</v>
      </c>
      <c r="I27" s="97">
        <f t="shared" si="11"/>
        <v>3040858.008764687</v>
      </c>
      <c r="M27" s="7">
        <f t="shared" si="2"/>
        <v>24</v>
      </c>
      <c r="N27" s="3">
        <f t="shared" si="0"/>
        <v>30107.505037274128</v>
      </c>
      <c r="O27" s="3">
        <f t="shared" si="7"/>
        <v>75674.314650477114</v>
      </c>
      <c r="P27" s="10">
        <f t="shared" si="19"/>
        <v>105781.81968775124</v>
      </c>
      <c r="Q27" s="10">
        <f t="shared" si="13"/>
        <v>100000</v>
      </c>
      <c r="R27" s="10">
        <f>+P27-Q27</f>
        <v>5781.8196877512382</v>
      </c>
      <c r="S27" s="10">
        <f t="shared" si="14"/>
        <v>316582.68134751148</v>
      </c>
      <c r="T27" s="10">
        <f t="shared" si="15"/>
        <v>94974.804404253446</v>
      </c>
      <c r="U27" s="13">
        <f>+T27</f>
        <v>94974.804404253446</v>
      </c>
      <c r="W27" s="12" t="s">
        <v>39</v>
      </c>
      <c r="X27" s="13">
        <f>+X26*$U$2</f>
        <v>94974.804404253227</v>
      </c>
      <c r="AA27" s="29">
        <v>0.3</v>
      </c>
      <c r="AK27" s="45" t="s">
        <v>83</v>
      </c>
      <c r="AL27" s="115" t="s">
        <v>42</v>
      </c>
      <c r="AM27" s="115" t="s">
        <v>43</v>
      </c>
      <c r="AN27" s="115" t="s">
        <v>44</v>
      </c>
      <c r="AO27" s="115" t="s">
        <v>45</v>
      </c>
      <c r="AP27" s="116" t="s">
        <v>46</v>
      </c>
    </row>
    <row r="28" spans="1:43" ht="16.5" thickBot="1" x14ac:dyDescent="0.3">
      <c r="A28" s="89" t="s">
        <v>11</v>
      </c>
      <c r="B28" s="90">
        <f>-G4</f>
        <v>100000</v>
      </c>
      <c r="C28" s="89"/>
      <c r="E28" s="7">
        <f t="shared" si="1"/>
        <v>25</v>
      </c>
      <c r="F28" s="90">
        <f t="shared" si="8"/>
        <v>3040858.008764687</v>
      </c>
      <c r="G28" s="90">
        <f t="shared" si="9"/>
        <v>-100000</v>
      </c>
      <c r="H28" s="90">
        <f t="shared" si="10"/>
        <v>29408.580087646871</v>
      </c>
      <c r="I28" s="90">
        <f t="shared" si="11"/>
        <v>2970266.5888523338</v>
      </c>
      <c r="M28" s="7">
        <f t="shared" si="2"/>
        <v>25</v>
      </c>
      <c r="N28" s="3">
        <f t="shared" si="0"/>
        <v>29408.580087646871</v>
      </c>
      <c r="O28" s="3">
        <f t="shared" si="7"/>
        <v>75674.314650477114</v>
      </c>
      <c r="P28" s="10">
        <f t="shared" si="19"/>
        <v>105082.89473812399</v>
      </c>
      <c r="Q28" s="3">
        <f t="shared" si="13"/>
        <v>100000</v>
      </c>
      <c r="R28" s="3">
        <f>+P28-Q28</f>
        <v>5082.894738123985</v>
      </c>
      <c r="S28" s="3">
        <f t="shared" ref="S28:S59" si="23">+R28+S27</f>
        <v>321665.57608563546</v>
      </c>
      <c r="T28" s="3">
        <f t="shared" si="15"/>
        <v>96499.672825690635</v>
      </c>
      <c r="AC28" s="58" t="s">
        <v>12</v>
      </c>
      <c r="AD28" s="59" t="s">
        <v>13</v>
      </c>
      <c r="AG28" s="58" t="s">
        <v>12</v>
      </c>
      <c r="AH28" s="59" t="s">
        <v>13</v>
      </c>
      <c r="AK28" s="18" t="s">
        <v>84</v>
      </c>
      <c r="AL28" s="117">
        <f>I15</f>
        <v>3835369.9088415066</v>
      </c>
      <c r="AM28" s="117">
        <f>I27</f>
        <v>3040858.008764687</v>
      </c>
      <c r="AN28" s="117">
        <f>I39</f>
        <v>2145582.1130204145</v>
      </c>
      <c r="AO28" s="117">
        <f>I51</f>
        <v>1136762.8248219495</v>
      </c>
      <c r="AP28" s="44">
        <f>I63</f>
        <v>2.0135485101491214E-9</v>
      </c>
    </row>
    <row r="29" spans="1:43" ht="16.5" thickBot="1" x14ac:dyDescent="0.3">
      <c r="A29" s="89" t="s">
        <v>23</v>
      </c>
      <c r="B29" s="90"/>
      <c r="C29" s="90">
        <f>+B28</f>
        <v>100000</v>
      </c>
      <c r="E29" s="7">
        <f t="shared" si="1"/>
        <v>26</v>
      </c>
      <c r="F29" s="90">
        <f t="shared" si="8"/>
        <v>2970266.5888523338</v>
      </c>
      <c r="G29" s="90">
        <f t="shared" si="9"/>
        <v>-100000</v>
      </c>
      <c r="H29" s="90">
        <f t="shared" si="10"/>
        <v>28702.665888523337</v>
      </c>
      <c r="I29" s="90">
        <f t="shared" si="11"/>
        <v>2898969.2547408571</v>
      </c>
      <c r="M29" s="7">
        <f t="shared" si="2"/>
        <v>26</v>
      </c>
      <c r="N29" s="3">
        <f t="shared" si="0"/>
        <v>28702.665888523337</v>
      </c>
      <c r="O29" s="3">
        <f t="shared" si="7"/>
        <v>75674.314650477114</v>
      </c>
      <c r="P29" s="10">
        <f t="shared" si="19"/>
        <v>104376.98053900045</v>
      </c>
      <c r="Q29" s="3">
        <f t="shared" si="13"/>
        <v>100000</v>
      </c>
      <c r="R29" s="3">
        <f>+P29-Q29</f>
        <v>4376.9805390004476</v>
      </c>
      <c r="S29" s="3">
        <f t="shared" ref="S29:S38" si="24">+R29+S28</f>
        <v>326042.55662463594</v>
      </c>
      <c r="T29" s="3">
        <f t="shared" si="15"/>
        <v>97812.766987390773</v>
      </c>
      <c r="AA29" s="45" t="s">
        <v>65</v>
      </c>
      <c r="AB29" s="46"/>
      <c r="AC29" s="47">
        <f>+-AB26</f>
        <v>300900.84168558178</v>
      </c>
      <c r="AD29" s="48"/>
      <c r="AE29" s="45" t="s">
        <v>82</v>
      </c>
      <c r="AF29" s="46"/>
      <c r="AG29" s="47">
        <f>+AB13</f>
        <v>60900.841685581778</v>
      </c>
      <c r="AH29" s="48"/>
      <c r="AI29" s="113">
        <f>+AG29</f>
        <v>60900.841685581778</v>
      </c>
      <c r="AK29" s="18" t="s">
        <v>85</v>
      </c>
      <c r="AL29" s="117">
        <f>B14-B19*12</f>
        <v>3632367.1032229015</v>
      </c>
      <c r="AM29" s="117">
        <f>+AL29-B19*12</f>
        <v>2724275.3274171762</v>
      </c>
      <c r="AN29" s="117">
        <f>+AM29-B19*12</f>
        <v>1816183.551611451</v>
      </c>
      <c r="AO29" s="117">
        <f>+AN29-B19*12</f>
        <v>908091.7758057256</v>
      </c>
      <c r="AP29" s="44">
        <f>+AO29-B19*12</f>
        <v>0</v>
      </c>
      <c r="AQ29" s="3"/>
    </row>
    <row r="30" spans="1:43" ht="16.5" thickBot="1" x14ac:dyDescent="0.3">
      <c r="A30" s="89"/>
      <c r="B30" s="89"/>
      <c r="C30" s="89"/>
      <c r="E30" s="7">
        <f t="shared" si="1"/>
        <v>27</v>
      </c>
      <c r="F30" s="90">
        <f t="shared" si="8"/>
        <v>2898969.2547408571</v>
      </c>
      <c r="G30" s="90">
        <f t="shared" si="9"/>
        <v>-100000</v>
      </c>
      <c r="H30" s="90">
        <f t="shared" si="10"/>
        <v>27989.692547408573</v>
      </c>
      <c r="I30" s="90">
        <f t="shared" si="11"/>
        <v>2826958.9472882655</v>
      </c>
      <c r="M30" s="7">
        <f t="shared" si="2"/>
        <v>27</v>
      </c>
      <c r="N30" s="3">
        <f t="shared" si="0"/>
        <v>27989.692547408573</v>
      </c>
      <c r="O30" s="3">
        <f t="shared" si="7"/>
        <v>75674.314650477114</v>
      </c>
      <c r="P30" s="10">
        <f t="shared" si="19"/>
        <v>103664.00719788569</v>
      </c>
      <c r="Q30" s="3">
        <f t="shared" si="13"/>
        <v>100000</v>
      </c>
      <c r="R30" s="3">
        <f>+P30-Q30</f>
        <v>3664.0071978856868</v>
      </c>
      <c r="S30" s="3">
        <f t="shared" si="24"/>
        <v>329706.5638225216</v>
      </c>
      <c r="T30" s="3">
        <f t="shared" si="15"/>
        <v>98911.96914675647</v>
      </c>
      <c r="AA30" s="104" t="s">
        <v>66</v>
      </c>
      <c r="AB30" s="105"/>
      <c r="AC30" s="105"/>
      <c r="AD30" s="106">
        <f>+AC29</f>
        <v>300900.84168558178</v>
      </c>
      <c r="AE30" s="104" t="s">
        <v>65</v>
      </c>
      <c r="AF30" s="105"/>
      <c r="AG30" s="105"/>
      <c r="AH30" s="106">
        <f>+AG29</f>
        <v>60900.841685581778</v>
      </c>
      <c r="AK30" s="118" t="s">
        <v>86</v>
      </c>
      <c r="AL30" s="119">
        <f>+AL28-AL29</f>
        <v>203002.80561860511</v>
      </c>
      <c r="AM30" s="119">
        <f t="shared" ref="AM30:AP30" si="25">+AM28-AM29</f>
        <v>316582.68134751078</v>
      </c>
      <c r="AN30" s="119">
        <f t="shared" si="25"/>
        <v>329398.56140896352</v>
      </c>
      <c r="AO30" s="119">
        <f t="shared" si="25"/>
        <v>228671.04901622387</v>
      </c>
      <c r="AP30" s="120">
        <f t="shared" si="25"/>
        <v>2.0135485101491214E-9</v>
      </c>
      <c r="AQ30" s="3"/>
    </row>
    <row r="31" spans="1:43" ht="16.5" thickBot="1" x14ac:dyDescent="0.3">
      <c r="A31" s="94" t="s">
        <v>24</v>
      </c>
      <c r="B31" s="95"/>
      <c r="C31" s="96">
        <f>+C15+C25-B28</f>
        <v>4484863.467818913</v>
      </c>
      <c r="E31" s="7">
        <f t="shared" si="1"/>
        <v>28</v>
      </c>
      <c r="F31" s="90">
        <f t="shared" ref="F31:F63" si="26">+I30</f>
        <v>2826958.9472882655</v>
      </c>
      <c r="G31" s="90">
        <f t="shared" ref="G31:G63" si="27">+G30</f>
        <v>-100000</v>
      </c>
      <c r="H31" s="90">
        <f t="shared" ref="H31:H63" si="28">(F31+G31)*$B$7</f>
        <v>27269.589472882653</v>
      </c>
      <c r="I31" s="90">
        <f t="shared" ref="I31:I63" si="29">+F31+G31+H31</f>
        <v>2754228.5367611479</v>
      </c>
      <c r="M31" s="7">
        <f t="shared" si="2"/>
        <v>28</v>
      </c>
      <c r="N31" s="3">
        <f t="shared" si="0"/>
        <v>27269.589472882653</v>
      </c>
      <c r="O31" s="3">
        <f t="shared" si="7"/>
        <v>75674.314650477114</v>
      </c>
      <c r="P31" s="10">
        <f t="shared" si="19"/>
        <v>102943.90412335977</v>
      </c>
      <c r="Q31" s="3">
        <f t="shared" si="13"/>
        <v>100000</v>
      </c>
      <c r="R31" s="3">
        <f>+P31-Q31</f>
        <v>2943.9041233597673</v>
      </c>
      <c r="S31" s="3">
        <f t="shared" si="24"/>
        <v>332650.46794588136</v>
      </c>
      <c r="T31" s="3">
        <f t="shared" si="15"/>
        <v>99795.140383764403</v>
      </c>
      <c r="AC31" s="58" t="s">
        <v>12</v>
      </c>
      <c r="AD31" s="59" t="s">
        <v>13</v>
      </c>
      <c r="AG31" s="58" t="s">
        <v>12</v>
      </c>
      <c r="AH31" s="59" t="s">
        <v>13</v>
      </c>
      <c r="AK31" s="121" t="s">
        <v>82</v>
      </c>
      <c r="AL31" s="114">
        <f>+AL30*30%</f>
        <v>60900.84168558153</v>
      </c>
      <c r="AM31" s="114">
        <f>+AM30*30%</f>
        <v>94974.804404253227</v>
      </c>
      <c r="AN31" s="114">
        <f>+AN30*30%</f>
        <v>98819.568422689059</v>
      </c>
      <c r="AO31" s="114">
        <f>+AO30*30%</f>
        <v>68601.314704867153</v>
      </c>
      <c r="AP31" s="114">
        <f>+AP30*30%</f>
        <v>6.0406455304473643E-10</v>
      </c>
      <c r="AQ31" s="3"/>
    </row>
    <row r="32" spans="1:43" ht="16.5" thickBot="1" x14ac:dyDescent="0.3">
      <c r="E32" s="7">
        <f t="shared" si="1"/>
        <v>29</v>
      </c>
      <c r="F32" s="90">
        <f t="shared" si="26"/>
        <v>2754228.5367611479</v>
      </c>
      <c r="G32" s="90">
        <f t="shared" si="27"/>
        <v>-100000</v>
      </c>
      <c r="H32" s="90">
        <f t="shared" si="28"/>
        <v>26542.285367611479</v>
      </c>
      <c r="I32" s="90">
        <f t="shared" si="29"/>
        <v>2680770.8221287592</v>
      </c>
      <c r="M32" s="7">
        <f t="shared" si="2"/>
        <v>29</v>
      </c>
      <c r="N32" s="3">
        <f t="shared" si="0"/>
        <v>26542.285367611479</v>
      </c>
      <c r="O32" s="3">
        <f t="shared" si="7"/>
        <v>75674.314650477114</v>
      </c>
      <c r="P32" s="10">
        <f t="shared" si="19"/>
        <v>102216.60001808859</v>
      </c>
      <c r="Q32" s="3">
        <f t="shared" si="13"/>
        <v>100000</v>
      </c>
      <c r="R32" s="3">
        <f>+P32-Q32</f>
        <v>2216.6000180885894</v>
      </c>
      <c r="S32" s="3">
        <f t="shared" si="24"/>
        <v>334867.06796396995</v>
      </c>
      <c r="T32" s="3">
        <f t="shared" si="15"/>
        <v>100460.12038919098</v>
      </c>
      <c r="AA32" s="45" t="s">
        <v>65</v>
      </c>
      <c r="AB32" s="46"/>
      <c r="AC32" s="47">
        <f>-AC26</f>
        <v>274073.96271867154</v>
      </c>
      <c r="AD32" s="48"/>
      <c r="AE32" s="45" t="s">
        <v>82</v>
      </c>
      <c r="AF32" s="46"/>
      <c r="AG32" s="47">
        <f>+AC13</f>
        <v>34073.962718671537</v>
      </c>
      <c r="AH32" s="48"/>
      <c r="AI32" s="113">
        <f>+AI29+AG32</f>
        <v>94974.804404253315</v>
      </c>
      <c r="AM32" s="3"/>
      <c r="AN32" s="3"/>
      <c r="AO32" s="3"/>
      <c r="AP32" s="3"/>
      <c r="AQ32" s="3"/>
    </row>
    <row r="33" spans="1:43" ht="16.5" thickBot="1" x14ac:dyDescent="0.3">
      <c r="A33" s="87"/>
      <c r="B33" s="92" t="s">
        <v>12</v>
      </c>
      <c r="C33" s="92" t="s">
        <v>13</v>
      </c>
      <c r="E33" s="7">
        <f t="shared" si="1"/>
        <v>30</v>
      </c>
      <c r="F33" s="90">
        <f t="shared" si="26"/>
        <v>2680770.8221287592</v>
      </c>
      <c r="G33" s="90">
        <f t="shared" si="27"/>
        <v>-100000</v>
      </c>
      <c r="H33" s="90">
        <f t="shared" si="28"/>
        <v>25807.708221287594</v>
      </c>
      <c r="I33" s="90">
        <f t="shared" si="29"/>
        <v>2606578.5303500467</v>
      </c>
      <c r="M33" s="7">
        <f t="shared" si="2"/>
        <v>30</v>
      </c>
      <c r="N33" s="3">
        <f t="shared" si="0"/>
        <v>25807.708221287594</v>
      </c>
      <c r="O33" s="3">
        <f t="shared" si="7"/>
        <v>75674.314650477114</v>
      </c>
      <c r="P33" s="10">
        <f t="shared" si="19"/>
        <v>101482.02287176471</v>
      </c>
      <c r="Q33" s="3">
        <f t="shared" si="13"/>
        <v>100000</v>
      </c>
      <c r="R33" s="3">
        <f>+P33-Q33</f>
        <v>1482.0228717647115</v>
      </c>
      <c r="S33" s="3">
        <f t="shared" si="24"/>
        <v>336349.09083573468</v>
      </c>
      <c r="T33" s="3">
        <f t="shared" si="15"/>
        <v>100904.7272507204</v>
      </c>
      <c r="AA33" s="104" t="s">
        <v>66</v>
      </c>
      <c r="AB33" s="105"/>
      <c r="AC33" s="105"/>
      <c r="AD33" s="106">
        <f>+AC32</f>
        <v>274073.96271867154</v>
      </c>
      <c r="AE33" s="104" t="s">
        <v>65</v>
      </c>
      <c r="AF33" s="105"/>
      <c r="AG33" s="105"/>
      <c r="AH33" s="106">
        <f>+AG32</f>
        <v>34073.962718671537</v>
      </c>
      <c r="AM33" s="3"/>
      <c r="AN33" s="3"/>
      <c r="AO33" s="3"/>
      <c r="AP33" s="3"/>
      <c r="AQ33" s="3"/>
    </row>
    <row r="34" spans="1:43" ht="16.5" thickBot="1" x14ac:dyDescent="0.3">
      <c r="A34" s="89" t="s">
        <v>22</v>
      </c>
      <c r="B34" s="90">
        <f>+H5</f>
        <v>43848.634678189133</v>
      </c>
      <c r="C34" s="89"/>
      <c r="E34" s="7">
        <f t="shared" si="1"/>
        <v>31</v>
      </c>
      <c r="F34" s="90">
        <f t="shared" si="26"/>
        <v>2606578.5303500467</v>
      </c>
      <c r="G34" s="90">
        <f t="shared" si="27"/>
        <v>-100000</v>
      </c>
      <c r="H34" s="90">
        <f t="shared" si="28"/>
        <v>25065.785303500466</v>
      </c>
      <c r="I34" s="90">
        <f t="shared" si="29"/>
        <v>2531644.3156535472</v>
      </c>
      <c r="M34" s="7">
        <f t="shared" si="2"/>
        <v>31</v>
      </c>
      <c r="N34" s="3">
        <f t="shared" si="0"/>
        <v>25065.785303500466</v>
      </c>
      <c r="O34" s="3">
        <f t="shared" si="7"/>
        <v>75674.314650477114</v>
      </c>
      <c r="P34" s="10">
        <f t="shared" si="19"/>
        <v>100740.09995397758</v>
      </c>
      <c r="Q34" s="3">
        <f t="shared" si="13"/>
        <v>100000</v>
      </c>
      <c r="R34" s="3">
        <f>+P34-Q34</f>
        <v>740.0999539775803</v>
      </c>
      <c r="S34" s="3">
        <f t="shared" si="24"/>
        <v>337089.19078971224</v>
      </c>
      <c r="T34" s="3">
        <f t="shared" si="15"/>
        <v>101126.75723691368</v>
      </c>
      <c r="AC34" s="58" t="s">
        <v>12</v>
      </c>
      <c r="AD34" s="59" t="s">
        <v>13</v>
      </c>
      <c r="AG34" s="58" t="s">
        <v>12</v>
      </c>
      <c r="AH34" s="59" t="s">
        <v>13</v>
      </c>
    </row>
    <row r="35" spans="1:43" ht="16.5" thickBot="1" x14ac:dyDescent="0.3">
      <c r="A35" s="89" t="s">
        <v>11</v>
      </c>
      <c r="B35" s="90"/>
      <c r="C35" s="90">
        <f>+B34</f>
        <v>43848.634678189133</v>
      </c>
      <c r="E35" s="7">
        <f t="shared" si="1"/>
        <v>32</v>
      </c>
      <c r="F35" s="90">
        <f t="shared" si="26"/>
        <v>2531644.3156535472</v>
      </c>
      <c r="G35" s="90">
        <f t="shared" si="27"/>
        <v>-100000</v>
      </c>
      <c r="H35" s="90">
        <f t="shared" si="28"/>
        <v>24316.443156535472</v>
      </c>
      <c r="I35" s="90">
        <f t="shared" si="29"/>
        <v>2455960.7588100825</v>
      </c>
      <c r="M35" s="7">
        <f t="shared" si="2"/>
        <v>32</v>
      </c>
      <c r="N35" s="3">
        <f t="shared" si="0"/>
        <v>24316.443156535472</v>
      </c>
      <c r="O35" s="3">
        <f t="shared" si="7"/>
        <v>75674.314650477114</v>
      </c>
      <c r="P35" s="10">
        <f t="shared" si="19"/>
        <v>99990.757807012589</v>
      </c>
      <c r="Q35" s="3">
        <f t="shared" si="13"/>
        <v>100000</v>
      </c>
      <c r="R35" s="3">
        <f>+P35-Q35</f>
        <v>-9.2421929874108173</v>
      </c>
      <c r="S35" s="3">
        <f t="shared" si="24"/>
        <v>337079.94859672483</v>
      </c>
      <c r="T35" s="3">
        <f t="shared" si="15"/>
        <v>101123.98457901744</v>
      </c>
      <c r="W35" s="1" t="s">
        <v>40</v>
      </c>
      <c r="AA35" s="45" t="s">
        <v>65</v>
      </c>
      <c r="AB35" s="46"/>
      <c r="AC35" s="47">
        <f>-AD26</f>
        <v>243844.76401843622</v>
      </c>
      <c r="AD35" s="48"/>
      <c r="AE35" s="45" t="s">
        <v>82</v>
      </c>
      <c r="AF35" s="46"/>
      <c r="AG35" s="47">
        <f>+AD13</f>
        <v>3844.7640184362244</v>
      </c>
      <c r="AH35" s="48"/>
      <c r="AI35" s="113">
        <f>+AI32+AG35</f>
        <v>98819.568422689539</v>
      </c>
    </row>
    <row r="36" spans="1:43" ht="16.5" thickBot="1" x14ac:dyDescent="0.3">
      <c r="A36" s="89"/>
      <c r="B36" s="89"/>
      <c r="C36" s="89"/>
      <c r="E36" s="7">
        <f t="shared" si="1"/>
        <v>33</v>
      </c>
      <c r="F36" s="90">
        <f t="shared" si="26"/>
        <v>2455960.7588100825</v>
      </c>
      <c r="G36" s="90">
        <f t="shared" si="27"/>
        <v>-100000</v>
      </c>
      <c r="H36" s="90">
        <f t="shared" si="28"/>
        <v>23559.607588100826</v>
      </c>
      <c r="I36" s="90">
        <f t="shared" si="29"/>
        <v>2379520.3663981832</v>
      </c>
      <c r="M36" s="7">
        <f t="shared" si="2"/>
        <v>33</v>
      </c>
      <c r="N36" s="3">
        <f t="shared" si="0"/>
        <v>23559.607588100826</v>
      </c>
      <c r="O36" s="3">
        <f t="shared" si="7"/>
        <v>75674.314650477114</v>
      </c>
      <c r="P36" s="10">
        <f t="shared" si="19"/>
        <v>99233.922238577943</v>
      </c>
      <c r="Q36" s="3">
        <f t="shared" si="13"/>
        <v>100000</v>
      </c>
      <c r="R36" s="3">
        <f>+P36-Q36</f>
        <v>-766.07776142205694</v>
      </c>
      <c r="S36" s="3">
        <f t="shared" si="24"/>
        <v>336313.87083530275</v>
      </c>
      <c r="T36" s="3">
        <f t="shared" si="15"/>
        <v>100894.16125059083</v>
      </c>
      <c r="W36" s="1" t="s">
        <v>36</v>
      </c>
      <c r="X36" s="3">
        <f>+I39</f>
        <v>2145582.1130204145</v>
      </c>
      <c r="AA36" s="104" t="s">
        <v>66</v>
      </c>
      <c r="AB36" s="105"/>
      <c r="AC36" s="105"/>
      <c r="AD36" s="106">
        <f>+AC35</f>
        <v>243844.76401843622</v>
      </c>
      <c r="AE36" s="104" t="s">
        <v>65</v>
      </c>
      <c r="AF36" s="105"/>
      <c r="AG36" s="105"/>
      <c r="AH36" s="106">
        <f>+AG35</f>
        <v>3844.7640184362244</v>
      </c>
    </row>
    <row r="37" spans="1:43" ht="16.5" thickBot="1" x14ac:dyDescent="0.3">
      <c r="A37" s="87"/>
      <c r="B37" s="92" t="s">
        <v>12</v>
      </c>
      <c r="C37" s="92" t="s">
        <v>13</v>
      </c>
      <c r="E37" s="7">
        <f t="shared" si="1"/>
        <v>34</v>
      </c>
      <c r="F37" s="90">
        <f t="shared" si="26"/>
        <v>2379520.3663981832</v>
      </c>
      <c r="G37" s="90">
        <f t="shared" si="27"/>
        <v>-100000</v>
      </c>
      <c r="H37" s="90">
        <f t="shared" si="28"/>
        <v>22795.203663981833</v>
      </c>
      <c r="I37" s="90">
        <f t="shared" si="29"/>
        <v>2302315.5700621651</v>
      </c>
      <c r="M37" s="7">
        <f t="shared" si="2"/>
        <v>34</v>
      </c>
      <c r="N37" s="3">
        <f t="shared" si="0"/>
        <v>22795.203663981833</v>
      </c>
      <c r="O37" s="3">
        <f t="shared" si="7"/>
        <v>75674.314650477114</v>
      </c>
      <c r="P37" s="10">
        <f t="shared" si="19"/>
        <v>98469.518314458954</v>
      </c>
      <c r="Q37" s="3">
        <f t="shared" si="13"/>
        <v>100000</v>
      </c>
      <c r="R37" s="3">
        <f>+P37-Q37</f>
        <v>-1530.4816855410463</v>
      </c>
      <c r="S37" s="3">
        <f t="shared" si="24"/>
        <v>334783.3891497617</v>
      </c>
      <c r="T37" s="3">
        <f t="shared" si="15"/>
        <v>100435.01674492851</v>
      </c>
      <c r="W37" s="1" t="s">
        <v>37</v>
      </c>
      <c r="X37" s="3">
        <f>+X25-B19*12</f>
        <v>1816183.551611451</v>
      </c>
      <c r="AC37" s="58" t="s">
        <v>12</v>
      </c>
      <c r="AD37" s="59" t="s">
        <v>13</v>
      </c>
      <c r="AG37" s="58" t="s">
        <v>12</v>
      </c>
      <c r="AH37" s="59" t="s">
        <v>13</v>
      </c>
    </row>
    <row r="38" spans="1:43" ht="16.5" thickBot="1" x14ac:dyDescent="0.3">
      <c r="A38" s="89" t="s">
        <v>11</v>
      </c>
      <c r="B38" s="90">
        <f>-G14</f>
        <v>100000</v>
      </c>
      <c r="C38" s="89"/>
      <c r="E38" s="7">
        <f t="shared" si="1"/>
        <v>35</v>
      </c>
      <c r="F38" s="90">
        <f t="shared" si="26"/>
        <v>2302315.5700621651</v>
      </c>
      <c r="G38" s="90">
        <f t="shared" si="27"/>
        <v>-100000</v>
      </c>
      <c r="H38" s="90">
        <f t="shared" si="28"/>
        <v>22023.155700621654</v>
      </c>
      <c r="I38" s="90">
        <f t="shared" si="29"/>
        <v>2224338.7257627868</v>
      </c>
      <c r="M38" s="7">
        <f t="shared" si="2"/>
        <v>35</v>
      </c>
      <c r="N38" s="3">
        <f t="shared" si="0"/>
        <v>22023.155700621654</v>
      </c>
      <c r="O38" s="3">
        <f t="shared" si="7"/>
        <v>75674.314650477114</v>
      </c>
      <c r="P38" s="10">
        <f t="shared" si="19"/>
        <v>97697.470351098775</v>
      </c>
      <c r="Q38" s="3">
        <f t="shared" si="13"/>
        <v>100000</v>
      </c>
      <c r="R38" s="3">
        <f>+P38-Q38</f>
        <v>-2302.5296489012253</v>
      </c>
      <c r="S38" s="3">
        <f t="shared" si="24"/>
        <v>332480.85950086045</v>
      </c>
      <c r="T38" s="3">
        <f t="shared" si="15"/>
        <v>99744.257850258131</v>
      </c>
      <c r="W38" s="1" t="s">
        <v>38</v>
      </c>
      <c r="X38" s="3">
        <f>+X36-X37</f>
        <v>329398.56140896352</v>
      </c>
      <c r="AA38" s="45" t="s">
        <v>65</v>
      </c>
      <c r="AB38" s="46"/>
      <c r="AC38" s="47">
        <f>-AE26</f>
        <v>209781.74628217812</v>
      </c>
      <c r="AD38" s="48"/>
      <c r="AE38" s="45" t="s">
        <v>65</v>
      </c>
      <c r="AF38" s="46"/>
      <c r="AG38" s="47">
        <f>-AE13</f>
        <v>30218.253717821877</v>
      </c>
      <c r="AH38" s="48"/>
    </row>
    <row r="39" spans="1:43" ht="16.5" thickBot="1" x14ac:dyDescent="0.3">
      <c r="A39" s="89" t="s">
        <v>23</v>
      </c>
      <c r="B39" s="90"/>
      <c r="C39" s="90">
        <f>+B38</f>
        <v>100000</v>
      </c>
      <c r="E39" s="7">
        <f t="shared" si="1"/>
        <v>36</v>
      </c>
      <c r="F39" s="97">
        <f t="shared" si="26"/>
        <v>2224338.7257627868</v>
      </c>
      <c r="G39" s="97">
        <f t="shared" si="27"/>
        <v>-100000</v>
      </c>
      <c r="H39" s="97">
        <f t="shared" si="28"/>
        <v>21243.38725762787</v>
      </c>
      <c r="I39" s="97">
        <f t="shared" si="29"/>
        <v>2145582.1130204145</v>
      </c>
      <c r="M39" s="7">
        <f t="shared" si="2"/>
        <v>36</v>
      </c>
      <c r="N39" s="3">
        <f t="shared" si="0"/>
        <v>21243.38725762787</v>
      </c>
      <c r="O39" s="3">
        <f t="shared" si="7"/>
        <v>75674.314650477114</v>
      </c>
      <c r="P39" s="10">
        <f t="shared" si="19"/>
        <v>96917.70190810498</v>
      </c>
      <c r="Q39" s="3">
        <f t="shared" si="13"/>
        <v>100000</v>
      </c>
      <c r="R39" s="3">
        <f>+P39-Q39</f>
        <v>-3082.2980918950198</v>
      </c>
      <c r="S39" s="3">
        <f t="shared" si="23"/>
        <v>329398.56140896544</v>
      </c>
      <c r="T39" s="3">
        <f t="shared" si="15"/>
        <v>98819.568422689626</v>
      </c>
      <c r="U39" s="13">
        <f>+T39</f>
        <v>98819.568422689626</v>
      </c>
      <c r="W39" s="12" t="s">
        <v>39</v>
      </c>
      <c r="X39" s="13">
        <f>+X38*$U$2</f>
        <v>98819.568422689059</v>
      </c>
      <c r="AA39" s="104" t="s">
        <v>66</v>
      </c>
      <c r="AB39" s="105"/>
      <c r="AC39" s="105"/>
      <c r="AD39" s="106">
        <f>+AC38</f>
        <v>209781.74628217812</v>
      </c>
      <c r="AE39" s="104" t="s">
        <v>82</v>
      </c>
      <c r="AF39" s="105"/>
      <c r="AG39" s="105"/>
      <c r="AH39" s="106">
        <f>+AG38</f>
        <v>30218.253717821877</v>
      </c>
      <c r="AI39" s="113">
        <f>+AI35-AH39</f>
        <v>68601.314704867662</v>
      </c>
    </row>
    <row r="40" spans="1:43" ht="16.5" thickBot="1" x14ac:dyDescent="0.3">
      <c r="A40" s="89"/>
      <c r="B40" s="89"/>
      <c r="C40" s="89"/>
      <c r="E40" s="7">
        <f t="shared" si="1"/>
        <v>37</v>
      </c>
      <c r="F40" s="90">
        <f t="shared" si="26"/>
        <v>2145582.1130204145</v>
      </c>
      <c r="G40" s="90">
        <f t="shared" si="27"/>
        <v>-100000</v>
      </c>
      <c r="H40" s="90">
        <f t="shared" si="28"/>
        <v>20455.821130204145</v>
      </c>
      <c r="I40" s="90">
        <f t="shared" si="29"/>
        <v>2066037.9341506187</v>
      </c>
      <c r="M40" s="7">
        <f t="shared" si="2"/>
        <v>37</v>
      </c>
      <c r="N40" s="3">
        <f t="shared" si="0"/>
        <v>20455.821130204145</v>
      </c>
      <c r="O40" s="3">
        <f t="shared" si="7"/>
        <v>75674.314650477114</v>
      </c>
      <c r="P40" s="10">
        <f t="shared" si="19"/>
        <v>96130.135780681259</v>
      </c>
      <c r="Q40" s="3">
        <f t="shared" si="13"/>
        <v>100000</v>
      </c>
      <c r="R40" s="3">
        <f>+P40-Q40</f>
        <v>-3869.8642193187407</v>
      </c>
      <c r="S40" s="3">
        <f t="shared" ref="S40:S47" si="30">+R40+S39</f>
        <v>325528.69718964671</v>
      </c>
      <c r="T40" s="3">
        <f t="shared" si="15"/>
        <v>97658.609156894017</v>
      </c>
      <c r="U40" s="1" t="s">
        <v>41</v>
      </c>
      <c r="AC40" s="58" t="s">
        <v>12</v>
      </c>
      <c r="AD40" s="59" t="s">
        <v>13</v>
      </c>
      <c r="AG40" s="58" t="s">
        <v>12</v>
      </c>
      <c r="AH40" s="59" t="s">
        <v>13</v>
      </c>
    </row>
    <row r="41" spans="1:43" ht="16.5" thickBot="1" x14ac:dyDescent="0.3">
      <c r="A41" s="98" t="s">
        <v>24</v>
      </c>
      <c r="B41" s="99"/>
      <c r="C41" s="100">
        <f>+C31+C35-B38</f>
        <v>4428712.1024971018</v>
      </c>
      <c r="E41" s="7">
        <f t="shared" si="1"/>
        <v>38</v>
      </c>
      <c r="F41" s="90">
        <f t="shared" si="26"/>
        <v>2066037.9341506187</v>
      </c>
      <c r="G41" s="90">
        <f t="shared" si="27"/>
        <v>-100000</v>
      </c>
      <c r="H41" s="90">
        <f t="shared" si="28"/>
        <v>19660.379341506188</v>
      </c>
      <c r="I41" s="90">
        <f t="shared" si="29"/>
        <v>1985698.3134921249</v>
      </c>
      <c r="M41" s="7">
        <f t="shared" si="2"/>
        <v>38</v>
      </c>
      <c r="N41" s="3">
        <f t="shared" si="0"/>
        <v>19660.379341506188</v>
      </c>
      <c r="O41" s="3">
        <f t="shared" si="7"/>
        <v>75674.314650477114</v>
      </c>
      <c r="P41" s="10">
        <f t="shared" si="19"/>
        <v>95334.693991983309</v>
      </c>
      <c r="Q41" s="3">
        <f t="shared" si="13"/>
        <v>100000</v>
      </c>
      <c r="R41" s="3">
        <f>+P41-Q41</f>
        <v>-4665.3060080166906</v>
      </c>
      <c r="S41" s="3">
        <f t="shared" si="30"/>
        <v>320863.39118163002</v>
      </c>
      <c r="T41" s="3">
        <f t="shared" si="15"/>
        <v>96259.017354488999</v>
      </c>
      <c r="AA41" s="45" t="s">
        <v>65</v>
      </c>
      <c r="AB41" s="46"/>
      <c r="AC41" s="47">
        <f>-AF26</f>
        <v>171398.68529513341</v>
      </c>
      <c r="AD41" s="48"/>
      <c r="AE41" s="45" t="s">
        <v>65</v>
      </c>
      <c r="AF41" s="46"/>
      <c r="AG41" s="47">
        <f>-AF13</f>
        <v>68601.314704866585</v>
      </c>
      <c r="AH41" s="48"/>
    </row>
    <row r="42" spans="1:43" ht="16.5" thickBot="1" x14ac:dyDescent="0.3">
      <c r="E42" s="7">
        <f t="shared" si="1"/>
        <v>39</v>
      </c>
      <c r="F42" s="90">
        <f t="shared" si="26"/>
        <v>1985698.3134921249</v>
      </c>
      <c r="G42" s="90">
        <f t="shared" si="27"/>
        <v>-100000</v>
      </c>
      <c r="H42" s="90">
        <f t="shared" si="28"/>
        <v>18856.983134921251</v>
      </c>
      <c r="I42" s="90">
        <f t="shared" si="29"/>
        <v>1904555.2966270461</v>
      </c>
      <c r="M42" s="7">
        <f t="shared" si="2"/>
        <v>39</v>
      </c>
      <c r="N42" s="3">
        <f t="shared" si="0"/>
        <v>18856.983134921251</v>
      </c>
      <c r="O42" s="3">
        <f t="shared" si="7"/>
        <v>75674.314650477114</v>
      </c>
      <c r="P42" s="10">
        <f t="shared" si="19"/>
        <v>94531.297785398361</v>
      </c>
      <c r="Q42" s="3">
        <f t="shared" si="13"/>
        <v>100000</v>
      </c>
      <c r="R42" s="3">
        <f>+P42-Q42</f>
        <v>-5468.7022146016388</v>
      </c>
      <c r="S42" s="3">
        <f t="shared" si="30"/>
        <v>315394.6889670284</v>
      </c>
      <c r="T42" s="3">
        <f t="shared" si="15"/>
        <v>94618.406690108517</v>
      </c>
      <c r="AA42" s="104" t="s">
        <v>66</v>
      </c>
      <c r="AB42" s="105"/>
      <c r="AC42" s="105"/>
      <c r="AD42" s="106">
        <f>+AC41</f>
        <v>171398.68529513341</v>
      </c>
      <c r="AE42" s="104" t="s">
        <v>82</v>
      </c>
      <c r="AF42" s="105"/>
      <c r="AG42" s="105"/>
      <c r="AH42" s="106">
        <f>+AG41</f>
        <v>68601.314704866585</v>
      </c>
      <c r="AI42" s="113">
        <f>+AI39-AH42</f>
        <v>1.076841726899147E-9</v>
      </c>
    </row>
    <row r="43" spans="1:43" x14ac:dyDescent="0.25">
      <c r="E43" s="7">
        <f t="shared" si="1"/>
        <v>40</v>
      </c>
      <c r="F43" s="90">
        <f t="shared" si="26"/>
        <v>1904555.2966270461</v>
      </c>
      <c r="G43" s="90">
        <f t="shared" si="27"/>
        <v>-100000</v>
      </c>
      <c r="H43" s="90">
        <f t="shared" si="28"/>
        <v>18045.552966270461</v>
      </c>
      <c r="I43" s="90">
        <f t="shared" si="29"/>
        <v>1822600.8495933164</v>
      </c>
      <c r="M43" s="7">
        <f t="shared" si="2"/>
        <v>40</v>
      </c>
      <c r="N43" s="3">
        <f t="shared" si="0"/>
        <v>18045.552966270461</v>
      </c>
      <c r="O43" s="3">
        <f t="shared" si="7"/>
        <v>75674.314650477114</v>
      </c>
      <c r="P43" s="10">
        <f t="shared" si="19"/>
        <v>93719.867616747579</v>
      </c>
      <c r="Q43" s="3">
        <f t="shared" si="13"/>
        <v>100000</v>
      </c>
      <c r="R43" s="3">
        <f>+P43-Q43</f>
        <v>-6280.1323832524213</v>
      </c>
      <c r="S43" s="3">
        <f t="shared" si="30"/>
        <v>309114.55658377596</v>
      </c>
      <c r="T43" s="3">
        <f t="shared" si="15"/>
        <v>92734.366975132783</v>
      </c>
    </row>
    <row r="44" spans="1:43" x14ac:dyDescent="0.25">
      <c r="E44" s="7">
        <f t="shared" si="1"/>
        <v>41</v>
      </c>
      <c r="F44" s="90">
        <f t="shared" si="26"/>
        <v>1822600.8495933164</v>
      </c>
      <c r="G44" s="90">
        <f t="shared" si="27"/>
        <v>-100000</v>
      </c>
      <c r="H44" s="90">
        <f t="shared" si="28"/>
        <v>17226.008495933165</v>
      </c>
      <c r="I44" s="90">
        <f t="shared" si="29"/>
        <v>1739826.8580892496</v>
      </c>
      <c r="M44" s="7">
        <f t="shared" si="2"/>
        <v>41</v>
      </c>
      <c r="N44" s="3">
        <f t="shared" si="0"/>
        <v>17226.008495933165</v>
      </c>
      <c r="O44" s="3">
        <f t="shared" si="7"/>
        <v>75674.314650477114</v>
      </c>
      <c r="P44" s="10">
        <f t="shared" si="19"/>
        <v>92900.323146410286</v>
      </c>
      <c r="Q44" s="3">
        <f t="shared" si="13"/>
        <v>100000</v>
      </c>
      <c r="R44" s="3">
        <f>+P44-Q44</f>
        <v>-7099.6768535897136</v>
      </c>
      <c r="S44" s="3">
        <f t="shared" si="30"/>
        <v>302014.87973018625</v>
      </c>
      <c r="T44" s="3">
        <f t="shared" si="15"/>
        <v>90604.463919055866</v>
      </c>
    </row>
    <row r="45" spans="1:43" x14ac:dyDescent="0.25">
      <c r="E45" s="7">
        <f t="shared" si="1"/>
        <v>42</v>
      </c>
      <c r="F45" s="90">
        <f t="shared" si="26"/>
        <v>1739826.8580892496</v>
      </c>
      <c r="G45" s="90">
        <f t="shared" si="27"/>
        <v>-100000</v>
      </c>
      <c r="H45" s="90">
        <f t="shared" si="28"/>
        <v>16398.268580892494</v>
      </c>
      <c r="I45" s="90">
        <f t="shared" si="29"/>
        <v>1656225.1266701422</v>
      </c>
      <c r="M45" s="7">
        <f t="shared" si="2"/>
        <v>42</v>
      </c>
      <c r="N45" s="3">
        <f t="shared" si="0"/>
        <v>16398.268580892494</v>
      </c>
      <c r="O45" s="3">
        <f t="shared" si="7"/>
        <v>75674.314650477114</v>
      </c>
      <c r="P45" s="10">
        <f t="shared" si="19"/>
        <v>92072.583231369616</v>
      </c>
      <c r="Q45" s="3">
        <f t="shared" si="13"/>
        <v>100000</v>
      </c>
      <c r="R45" s="3">
        <f>+P45-Q45</f>
        <v>-7927.4167686303845</v>
      </c>
      <c r="S45" s="3">
        <f t="shared" si="30"/>
        <v>294087.46296155587</v>
      </c>
      <c r="T45" s="3">
        <f t="shared" si="15"/>
        <v>88226.23888846676</v>
      </c>
    </row>
    <row r="46" spans="1:43" x14ac:dyDescent="0.25">
      <c r="E46" s="7">
        <f t="shared" si="1"/>
        <v>43</v>
      </c>
      <c r="F46" s="90">
        <f t="shared" si="26"/>
        <v>1656225.1266701422</v>
      </c>
      <c r="G46" s="90">
        <f t="shared" si="27"/>
        <v>-100000</v>
      </c>
      <c r="H46" s="90">
        <f t="shared" si="28"/>
        <v>15562.251266701422</v>
      </c>
      <c r="I46" s="90">
        <f t="shared" si="29"/>
        <v>1571787.3779368435</v>
      </c>
      <c r="M46" s="7">
        <f t="shared" si="2"/>
        <v>43</v>
      </c>
      <c r="N46" s="3">
        <f t="shared" si="0"/>
        <v>15562.251266701422</v>
      </c>
      <c r="O46" s="3">
        <f t="shared" si="7"/>
        <v>75674.314650477114</v>
      </c>
      <c r="P46" s="10">
        <f t="shared" si="19"/>
        <v>91236.565917178537</v>
      </c>
      <c r="Q46" s="3">
        <f t="shared" si="13"/>
        <v>100000</v>
      </c>
      <c r="R46" s="3">
        <f>+P46-Q46</f>
        <v>-8763.4340828214627</v>
      </c>
      <c r="S46" s="3">
        <f t="shared" si="30"/>
        <v>285324.02887873439</v>
      </c>
      <c r="T46" s="3">
        <f t="shared" si="15"/>
        <v>85597.208663620317</v>
      </c>
    </row>
    <row r="47" spans="1:43" x14ac:dyDescent="0.25">
      <c r="E47" s="7">
        <f t="shared" si="1"/>
        <v>44</v>
      </c>
      <c r="F47" s="90">
        <f t="shared" si="26"/>
        <v>1571787.3779368435</v>
      </c>
      <c r="G47" s="90">
        <f t="shared" si="27"/>
        <v>-100000</v>
      </c>
      <c r="H47" s="90">
        <f t="shared" si="28"/>
        <v>14717.873779368436</v>
      </c>
      <c r="I47" s="90">
        <f t="shared" si="29"/>
        <v>1486505.2517162119</v>
      </c>
      <c r="M47" s="7">
        <f t="shared" si="2"/>
        <v>44</v>
      </c>
      <c r="N47" s="3">
        <f t="shared" si="0"/>
        <v>14717.873779368436</v>
      </c>
      <c r="O47" s="3">
        <f t="shared" si="7"/>
        <v>75674.314650477114</v>
      </c>
      <c r="P47" s="10">
        <f t="shared" si="19"/>
        <v>90392.188429845555</v>
      </c>
      <c r="Q47" s="3">
        <f t="shared" si="13"/>
        <v>100000</v>
      </c>
      <c r="R47" s="3">
        <f>+P47-Q47</f>
        <v>-9607.8115701544448</v>
      </c>
      <c r="S47" s="3">
        <f t="shared" si="30"/>
        <v>275716.21730857994</v>
      </c>
      <c r="T47" s="3">
        <f t="shared" si="15"/>
        <v>82714.865192573983</v>
      </c>
      <c r="W47" s="1" t="s">
        <v>40</v>
      </c>
    </row>
    <row r="48" spans="1:43" x14ac:dyDescent="0.25">
      <c r="E48" s="7">
        <f t="shared" si="1"/>
        <v>45</v>
      </c>
      <c r="F48" s="90">
        <f t="shared" si="26"/>
        <v>1486505.2517162119</v>
      </c>
      <c r="G48" s="90">
        <f t="shared" si="27"/>
        <v>-100000</v>
      </c>
      <c r="H48" s="90">
        <f t="shared" si="28"/>
        <v>13865.052517162119</v>
      </c>
      <c r="I48" s="90">
        <f t="shared" si="29"/>
        <v>1400370.3042333741</v>
      </c>
      <c r="M48" s="7">
        <f t="shared" si="2"/>
        <v>45</v>
      </c>
      <c r="N48" s="3">
        <f t="shared" si="0"/>
        <v>13865.052517162119</v>
      </c>
      <c r="O48" s="3">
        <f t="shared" si="7"/>
        <v>75674.314650477114</v>
      </c>
      <c r="P48" s="10">
        <f t="shared" si="19"/>
        <v>89539.367167639226</v>
      </c>
      <c r="Q48" s="3">
        <f t="shared" si="13"/>
        <v>100000</v>
      </c>
      <c r="R48" s="3">
        <f>+P48-Q48</f>
        <v>-10460.632832360774</v>
      </c>
      <c r="S48" s="3">
        <f t="shared" si="23"/>
        <v>265255.58447621914</v>
      </c>
      <c r="T48" s="3">
        <f t="shared" si="15"/>
        <v>79576.675342865739</v>
      </c>
      <c r="W48" s="1" t="s">
        <v>36</v>
      </c>
      <c r="X48" s="3">
        <f>+I51</f>
        <v>1136762.8248219495</v>
      </c>
    </row>
    <row r="49" spans="5:24" x14ac:dyDescent="0.25">
      <c r="E49" s="7">
        <f t="shared" si="1"/>
        <v>46</v>
      </c>
      <c r="F49" s="90">
        <f t="shared" si="26"/>
        <v>1400370.3042333741</v>
      </c>
      <c r="G49" s="90">
        <f t="shared" si="27"/>
        <v>-100000</v>
      </c>
      <c r="H49" s="90">
        <f t="shared" si="28"/>
        <v>13003.703042333742</v>
      </c>
      <c r="I49" s="90">
        <f t="shared" si="29"/>
        <v>1313374.0072757078</v>
      </c>
      <c r="M49" s="7">
        <f t="shared" si="2"/>
        <v>46</v>
      </c>
      <c r="N49" s="3">
        <f t="shared" si="0"/>
        <v>13003.703042333742</v>
      </c>
      <c r="O49" s="3">
        <f t="shared" si="7"/>
        <v>75674.314650477114</v>
      </c>
      <c r="P49" s="10">
        <f t="shared" si="19"/>
        <v>88678.017692810856</v>
      </c>
      <c r="Q49" s="3">
        <f t="shared" si="13"/>
        <v>100000</v>
      </c>
      <c r="R49" s="3">
        <f>+P49-Q49</f>
        <v>-11321.982307189144</v>
      </c>
      <c r="S49" s="3">
        <f t="shared" ref="S49:S58" si="31">+R49+S48</f>
        <v>253933.60216903</v>
      </c>
      <c r="T49" s="3">
        <f t="shared" si="15"/>
        <v>76180.080650709002</v>
      </c>
      <c r="W49" s="1" t="s">
        <v>37</v>
      </c>
      <c r="X49" s="3">
        <f>+X37-B19*12</f>
        <v>908091.7758057256</v>
      </c>
    </row>
    <row r="50" spans="5:24" x14ac:dyDescent="0.25">
      <c r="E50" s="7">
        <f t="shared" si="1"/>
        <v>47</v>
      </c>
      <c r="F50" s="90">
        <f t="shared" si="26"/>
        <v>1313374.0072757078</v>
      </c>
      <c r="G50" s="90">
        <f t="shared" si="27"/>
        <v>-100000</v>
      </c>
      <c r="H50" s="90">
        <f t="shared" si="28"/>
        <v>12133.740072757078</v>
      </c>
      <c r="I50" s="90">
        <f t="shared" si="29"/>
        <v>1225507.7473484648</v>
      </c>
      <c r="M50" s="7">
        <f t="shared" si="2"/>
        <v>47</v>
      </c>
      <c r="N50" s="3">
        <f t="shared" si="0"/>
        <v>12133.740072757078</v>
      </c>
      <c r="O50" s="3">
        <f t="shared" si="7"/>
        <v>75674.314650477114</v>
      </c>
      <c r="P50" s="10">
        <f t="shared" si="19"/>
        <v>87808.054723234192</v>
      </c>
      <c r="Q50" s="3">
        <f t="shared" si="13"/>
        <v>100000</v>
      </c>
      <c r="R50" s="3">
        <f>+P50-Q50</f>
        <v>-12191.945276765808</v>
      </c>
      <c r="S50" s="3">
        <f t="shared" si="31"/>
        <v>241741.6568922642</v>
      </c>
      <c r="T50" s="3">
        <f t="shared" si="15"/>
        <v>72522.497067679258</v>
      </c>
      <c r="W50" s="1" t="s">
        <v>38</v>
      </c>
      <c r="X50" s="3">
        <f>+X48-X49</f>
        <v>228671.04901622387</v>
      </c>
    </row>
    <row r="51" spans="5:24" x14ac:dyDescent="0.25">
      <c r="E51" s="7">
        <f t="shared" si="1"/>
        <v>48</v>
      </c>
      <c r="F51" s="97">
        <f t="shared" si="26"/>
        <v>1225507.7473484648</v>
      </c>
      <c r="G51" s="97">
        <f t="shared" si="27"/>
        <v>-100000</v>
      </c>
      <c r="H51" s="97">
        <f t="shared" si="28"/>
        <v>11255.077473484647</v>
      </c>
      <c r="I51" s="97">
        <f t="shared" si="29"/>
        <v>1136762.8248219495</v>
      </c>
      <c r="M51" s="7">
        <f t="shared" si="2"/>
        <v>48</v>
      </c>
      <c r="N51" s="3">
        <f t="shared" si="0"/>
        <v>11255.077473484647</v>
      </c>
      <c r="O51" s="3">
        <f t="shared" si="7"/>
        <v>75674.314650477114</v>
      </c>
      <c r="P51" s="10">
        <f t="shared" si="19"/>
        <v>86929.392123961763</v>
      </c>
      <c r="Q51" s="3">
        <f t="shared" si="13"/>
        <v>100000</v>
      </c>
      <c r="R51" s="3">
        <f>+P51-Q51</f>
        <v>-13070.607876038237</v>
      </c>
      <c r="S51" s="3">
        <f t="shared" si="31"/>
        <v>228671.04901622597</v>
      </c>
      <c r="T51" s="3">
        <f t="shared" si="15"/>
        <v>68601.314704867793</v>
      </c>
      <c r="U51" s="13">
        <f>+T51</f>
        <v>68601.314704867793</v>
      </c>
      <c r="W51" s="12" t="s">
        <v>39</v>
      </c>
      <c r="X51" s="13">
        <f>+X50*$U$2</f>
        <v>68601.314704867153</v>
      </c>
    </row>
    <row r="52" spans="5:24" x14ac:dyDescent="0.25">
      <c r="E52" s="7">
        <f t="shared" si="1"/>
        <v>49</v>
      </c>
      <c r="F52" s="90">
        <f t="shared" si="26"/>
        <v>1136762.8248219495</v>
      </c>
      <c r="G52" s="90">
        <f t="shared" si="27"/>
        <v>-100000</v>
      </c>
      <c r="H52" s="90">
        <f t="shared" si="28"/>
        <v>10367.628248219495</v>
      </c>
      <c r="I52" s="90">
        <f t="shared" si="29"/>
        <v>1047130.453070169</v>
      </c>
      <c r="M52" s="7">
        <f t="shared" si="2"/>
        <v>49</v>
      </c>
      <c r="N52" s="3">
        <f t="shared" si="0"/>
        <v>10367.628248219495</v>
      </c>
      <c r="O52" s="3">
        <f t="shared" si="7"/>
        <v>75674.314650477114</v>
      </c>
      <c r="P52" s="10">
        <f t="shared" si="19"/>
        <v>86041.942898696609</v>
      </c>
      <c r="Q52" s="3">
        <f t="shared" si="13"/>
        <v>100000</v>
      </c>
      <c r="R52" s="3">
        <f>+P52-Q52</f>
        <v>-13958.057101303391</v>
      </c>
      <c r="S52" s="3">
        <f t="shared" si="31"/>
        <v>214712.99191492258</v>
      </c>
      <c r="T52" s="3">
        <f t="shared" si="15"/>
        <v>64413.897574476767</v>
      </c>
    </row>
    <row r="53" spans="5:24" x14ac:dyDescent="0.25">
      <c r="E53" s="7">
        <f t="shared" si="1"/>
        <v>50</v>
      </c>
      <c r="F53" s="90">
        <f t="shared" si="26"/>
        <v>1047130.453070169</v>
      </c>
      <c r="G53" s="90">
        <f t="shared" si="27"/>
        <v>-100000</v>
      </c>
      <c r="H53" s="90">
        <f t="shared" si="28"/>
        <v>9471.3045307016891</v>
      </c>
      <c r="I53" s="90">
        <f t="shared" si="29"/>
        <v>956601.75760087068</v>
      </c>
      <c r="M53" s="7">
        <f t="shared" si="2"/>
        <v>50</v>
      </c>
      <c r="N53" s="3">
        <f t="shared" si="0"/>
        <v>9471.3045307016891</v>
      </c>
      <c r="O53" s="3">
        <f t="shared" si="7"/>
        <v>75674.314650477114</v>
      </c>
      <c r="P53" s="10">
        <f t="shared" si="19"/>
        <v>85145.619181178801</v>
      </c>
      <c r="Q53" s="3">
        <f t="shared" si="13"/>
        <v>100000</v>
      </c>
      <c r="R53" s="3">
        <f>+P53-Q53</f>
        <v>-14854.380818821199</v>
      </c>
      <c r="S53" s="3">
        <f t="shared" si="31"/>
        <v>199858.61109610138</v>
      </c>
      <c r="T53" s="3">
        <f t="shared" si="15"/>
        <v>59957.583328830413</v>
      </c>
    </row>
    <row r="54" spans="5:24" x14ac:dyDescent="0.25">
      <c r="E54" s="7">
        <f t="shared" si="1"/>
        <v>51</v>
      </c>
      <c r="F54" s="90">
        <f t="shared" si="26"/>
        <v>956601.75760087068</v>
      </c>
      <c r="G54" s="90">
        <f t="shared" si="27"/>
        <v>-100000</v>
      </c>
      <c r="H54" s="90">
        <f t="shared" si="28"/>
        <v>8566.0175760087077</v>
      </c>
      <c r="I54" s="90">
        <f t="shared" si="29"/>
        <v>865167.77517687937</v>
      </c>
      <c r="M54" s="7">
        <f t="shared" si="2"/>
        <v>51</v>
      </c>
      <c r="N54" s="3">
        <f t="shared" si="0"/>
        <v>8566.0175760087077</v>
      </c>
      <c r="O54" s="3">
        <f t="shared" si="7"/>
        <v>75674.314650477114</v>
      </c>
      <c r="P54" s="10">
        <f t="shared" si="19"/>
        <v>84240.332226485829</v>
      </c>
      <c r="Q54" s="3">
        <f t="shared" si="13"/>
        <v>100000</v>
      </c>
      <c r="R54" s="3">
        <f>+P54-Q54</f>
        <v>-15759.667773514171</v>
      </c>
      <c r="S54" s="3">
        <f t="shared" si="31"/>
        <v>184098.94332258721</v>
      </c>
      <c r="T54" s="3">
        <f t="shared" si="15"/>
        <v>55229.682996776159</v>
      </c>
    </row>
    <row r="55" spans="5:24" x14ac:dyDescent="0.25">
      <c r="E55" s="7">
        <f t="shared" si="1"/>
        <v>52</v>
      </c>
      <c r="F55" s="90">
        <f t="shared" si="26"/>
        <v>865167.77517687937</v>
      </c>
      <c r="G55" s="90">
        <f t="shared" si="27"/>
        <v>-100000</v>
      </c>
      <c r="H55" s="90">
        <f t="shared" si="28"/>
        <v>7651.6777517687942</v>
      </c>
      <c r="I55" s="90">
        <f t="shared" si="29"/>
        <v>772819.45292864821</v>
      </c>
      <c r="M55" s="7">
        <f t="shared" si="2"/>
        <v>52</v>
      </c>
      <c r="N55" s="3">
        <f t="shared" si="0"/>
        <v>7651.6777517687942</v>
      </c>
      <c r="O55" s="3">
        <f t="shared" si="7"/>
        <v>75674.314650477114</v>
      </c>
      <c r="P55" s="10">
        <f t="shared" si="19"/>
        <v>83325.992402245902</v>
      </c>
      <c r="Q55" s="3">
        <f t="shared" si="13"/>
        <v>100000</v>
      </c>
      <c r="R55" s="3">
        <f>+P55-Q55</f>
        <v>-16674.007597754098</v>
      </c>
      <c r="S55" s="3">
        <f t="shared" si="31"/>
        <v>167424.93572483311</v>
      </c>
      <c r="T55" s="3">
        <f t="shared" si="15"/>
        <v>50227.480717449929</v>
      </c>
    </row>
    <row r="56" spans="5:24" x14ac:dyDescent="0.25">
      <c r="E56" s="7">
        <f t="shared" si="1"/>
        <v>53</v>
      </c>
      <c r="F56" s="90">
        <f t="shared" si="26"/>
        <v>772819.45292864821</v>
      </c>
      <c r="G56" s="90">
        <f t="shared" si="27"/>
        <v>-100000</v>
      </c>
      <c r="H56" s="90">
        <f t="shared" si="28"/>
        <v>6728.1945292864821</v>
      </c>
      <c r="I56" s="90">
        <f t="shared" si="29"/>
        <v>679547.64745793468</v>
      </c>
      <c r="M56" s="7">
        <f t="shared" si="2"/>
        <v>53</v>
      </c>
      <c r="N56" s="3">
        <f t="shared" si="0"/>
        <v>6728.1945292864821</v>
      </c>
      <c r="O56" s="3">
        <f t="shared" si="7"/>
        <v>75674.314650477114</v>
      </c>
      <c r="P56" s="10">
        <f t="shared" si="19"/>
        <v>82402.509179763598</v>
      </c>
      <c r="Q56" s="3">
        <f t="shared" si="13"/>
        <v>100000</v>
      </c>
      <c r="R56" s="3">
        <f>+P56-Q56</f>
        <v>-17597.490820236402</v>
      </c>
      <c r="S56" s="3">
        <f t="shared" si="31"/>
        <v>149827.44490459672</v>
      </c>
      <c r="T56" s="3">
        <f t="shared" si="15"/>
        <v>44948.233471379011</v>
      </c>
    </row>
    <row r="57" spans="5:24" x14ac:dyDescent="0.25">
      <c r="E57" s="7">
        <f t="shared" si="1"/>
        <v>54</v>
      </c>
      <c r="F57" s="90">
        <f t="shared" si="26"/>
        <v>679547.64745793468</v>
      </c>
      <c r="G57" s="90">
        <f t="shared" si="27"/>
        <v>-100000</v>
      </c>
      <c r="H57" s="90">
        <f t="shared" si="28"/>
        <v>5795.4764745793473</v>
      </c>
      <c r="I57" s="90">
        <f t="shared" si="29"/>
        <v>585343.12393251399</v>
      </c>
      <c r="M57" s="7">
        <f t="shared" si="2"/>
        <v>54</v>
      </c>
      <c r="N57" s="3">
        <f t="shared" si="0"/>
        <v>5795.4764745793473</v>
      </c>
      <c r="O57" s="3">
        <f t="shared" si="7"/>
        <v>75674.314650477114</v>
      </c>
      <c r="P57" s="10">
        <f t="shared" si="19"/>
        <v>81469.791125056465</v>
      </c>
      <c r="Q57" s="3">
        <f t="shared" si="13"/>
        <v>100000</v>
      </c>
      <c r="R57" s="3">
        <f>+P57-Q57</f>
        <v>-18530.208874943535</v>
      </c>
      <c r="S57" s="3">
        <f t="shared" si="31"/>
        <v>131297.23602965317</v>
      </c>
      <c r="T57" s="3">
        <f t="shared" si="15"/>
        <v>39389.170808895949</v>
      </c>
    </row>
    <row r="58" spans="5:24" x14ac:dyDescent="0.25">
      <c r="E58" s="7">
        <f t="shared" si="1"/>
        <v>55</v>
      </c>
      <c r="F58" s="90">
        <f t="shared" si="26"/>
        <v>585343.12393251399</v>
      </c>
      <c r="G58" s="90">
        <f t="shared" si="27"/>
        <v>-100000</v>
      </c>
      <c r="H58" s="90">
        <f t="shared" si="28"/>
        <v>4853.4312393251403</v>
      </c>
      <c r="I58" s="90">
        <f t="shared" si="29"/>
        <v>490196.55517183914</v>
      </c>
      <c r="M58" s="7">
        <f t="shared" si="2"/>
        <v>55</v>
      </c>
      <c r="N58" s="3">
        <f t="shared" si="0"/>
        <v>4853.4312393251403</v>
      </c>
      <c r="O58" s="3">
        <f t="shared" si="7"/>
        <v>75674.314650477114</v>
      </c>
      <c r="P58" s="10">
        <f t="shared" si="19"/>
        <v>80527.74588980226</v>
      </c>
      <c r="Q58" s="3">
        <f t="shared" si="13"/>
        <v>100000</v>
      </c>
      <c r="R58" s="3">
        <f>+P58-Q58</f>
        <v>-19472.25411019774</v>
      </c>
      <c r="S58" s="3">
        <f t="shared" si="31"/>
        <v>111824.98191945543</v>
      </c>
      <c r="T58" s="3">
        <f t="shared" si="15"/>
        <v>33547.49457583663</v>
      </c>
    </row>
    <row r="59" spans="5:24" x14ac:dyDescent="0.25">
      <c r="E59" s="7">
        <f t="shared" si="1"/>
        <v>56</v>
      </c>
      <c r="F59" s="90">
        <f t="shared" si="26"/>
        <v>490196.55517183914</v>
      </c>
      <c r="G59" s="90">
        <f t="shared" si="27"/>
        <v>-100000</v>
      </c>
      <c r="H59" s="90">
        <f t="shared" si="28"/>
        <v>3901.9655517183915</v>
      </c>
      <c r="I59" s="90">
        <f t="shared" si="29"/>
        <v>394098.52072355751</v>
      </c>
      <c r="M59" s="7">
        <f t="shared" si="2"/>
        <v>56</v>
      </c>
      <c r="N59" s="3">
        <f t="shared" si="0"/>
        <v>3901.9655517183915</v>
      </c>
      <c r="O59" s="3">
        <f t="shared" si="7"/>
        <v>75674.314650477114</v>
      </c>
      <c r="P59" s="10">
        <f t="shared" si="19"/>
        <v>79576.280202195499</v>
      </c>
      <c r="Q59" s="3">
        <f t="shared" si="13"/>
        <v>100000</v>
      </c>
      <c r="R59" s="3">
        <f>+P59-Q59</f>
        <v>-20423.719797804501</v>
      </c>
      <c r="S59" s="3">
        <f t="shared" si="23"/>
        <v>91401.262121650929</v>
      </c>
      <c r="T59" s="3">
        <f t="shared" si="15"/>
        <v>27420.378636495279</v>
      </c>
      <c r="W59" s="1" t="s">
        <v>40</v>
      </c>
    </row>
    <row r="60" spans="5:24" x14ac:dyDescent="0.25">
      <c r="E60" s="7">
        <f t="shared" si="1"/>
        <v>57</v>
      </c>
      <c r="F60" s="90">
        <f t="shared" si="26"/>
        <v>394098.52072355751</v>
      </c>
      <c r="G60" s="90">
        <f t="shared" si="27"/>
        <v>-100000</v>
      </c>
      <c r="H60" s="90">
        <f t="shared" si="28"/>
        <v>2940.9852072355752</v>
      </c>
      <c r="I60" s="90">
        <f t="shared" si="29"/>
        <v>297039.50593079306</v>
      </c>
      <c r="M60" s="7">
        <f t="shared" si="2"/>
        <v>57</v>
      </c>
      <c r="N60" s="3">
        <f t="shared" si="0"/>
        <v>2940.9852072355752</v>
      </c>
      <c r="O60" s="3">
        <f t="shared" si="7"/>
        <v>75674.314650477114</v>
      </c>
      <c r="P60" s="10">
        <f t="shared" si="19"/>
        <v>78615.299857712685</v>
      </c>
      <c r="Q60" s="3">
        <f t="shared" si="13"/>
        <v>100000</v>
      </c>
      <c r="R60" s="3">
        <f>+P60-Q60</f>
        <v>-21384.700142287315</v>
      </c>
      <c r="S60" s="3">
        <f>+R60+S59</f>
        <v>70016.561979363614</v>
      </c>
      <c r="T60" s="3">
        <f t="shared" si="15"/>
        <v>21004.968593809084</v>
      </c>
      <c r="W60" s="1" t="s">
        <v>36</v>
      </c>
      <c r="X60" s="3">
        <f>+I63</f>
        <v>2.0135485101491214E-9</v>
      </c>
    </row>
    <row r="61" spans="5:24" x14ac:dyDescent="0.25">
      <c r="E61" s="7">
        <f t="shared" si="1"/>
        <v>58</v>
      </c>
      <c r="F61" s="90">
        <f t="shared" si="26"/>
        <v>297039.50593079306</v>
      </c>
      <c r="G61" s="90">
        <f t="shared" si="27"/>
        <v>-100000</v>
      </c>
      <c r="H61" s="90">
        <f t="shared" si="28"/>
        <v>1970.3950593079308</v>
      </c>
      <c r="I61" s="90">
        <f t="shared" si="29"/>
        <v>199009.90099010098</v>
      </c>
      <c r="M61" s="7">
        <f t="shared" si="2"/>
        <v>58</v>
      </c>
      <c r="N61" s="3">
        <f t="shared" si="0"/>
        <v>1970.3950593079308</v>
      </c>
      <c r="O61" s="3">
        <f t="shared" si="7"/>
        <v>75674.314650477114</v>
      </c>
      <c r="P61" s="10">
        <f t="shared" si="19"/>
        <v>77644.709709785049</v>
      </c>
      <c r="Q61" s="3">
        <f t="shared" si="13"/>
        <v>100000</v>
      </c>
      <c r="R61" s="3">
        <f>+P61-Q61</f>
        <v>-22355.290290214951</v>
      </c>
      <c r="S61" s="3">
        <f>+R61+S60</f>
        <v>47661.271689148663</v>
      </c>
      <c r="T61" s="3">
        <f t="shared" si="15"/>
        <v>14298.381506744599</v>
      </c>
      <c r="W61" s="1" t="s">
        <v>37</v>
      </c>
      <c r="X61" s="3">
        <f>+X49-B19*12</f>
        <v>0</v>
      </c>
    </row>
    <row r="62" spans="5:24" x14ac:dyDescent="0.25">
      <c r="E62" s="7">
        <f t="shared" si="1"/>
        <v>59</v>
      </c>
      <c r="F62" s="90">
        <f t="shared" si="26"/>
        <v>199009.90099010098</v>
      </c>
      <c r="G62" s="90">
        <f t="shared" si="27"/>
        <v>-100000</v>
      </c>
      <c r="H62" s="90">
        <f t="shared" si="28"/>
        <v>990.09900990100982</v>
      </c>
      <c r="I62" s="90">
        <f t="shared" si="29"/>
        <v>100000.00000000199</v>
      </c>
      <c r="M62" s="7">
        <f t="shared" si="2"/>
        <v>59</v>
      </c>
      <c r="N62" s="3">
        <f t="shared" si="0"/>
        <v>990.09900990100982</v>
      </c>
      <c r="O62" s="3">
        <f t="shared" si="7"/>
        <v>75674.314650477114</v>
      </c>
      <c r="P62" s="10">
        <f t="shared" si="19"/>
        <v>76664.413660378123</v>
      </c>
      <c r="Q62" s="3">
        <f t="shared" si="13"/>
        <v>100000</v>
      </c>
      <c r="R62" s="3">
        <f>+P62-Q62</f>
        <v>-23335.586339621877</v>
      </c>
      <c r="S62" s="3">
        <f>+R62+S61</f>
        <v>24325.685349526786</v>
      </c>
      <c r="T62" s="3">
        <f t="shared" si="15"/>
        <v>7297.7056048580353</v>
      </c>
      <c r="W62" s="1" t="s">
        <v>38</v>
      </c>
      <c r="X62" s="3">
        <f>+X60-X61</f>
        <v>2.0135485101491214E-9</v>
      </c>
    </row>
    <row r="63" spans="5:24" x14ac:dyDescent="0.25">
      <c r="E63" s="7">
        <f t="shared" si="1"/>
        <v>60</v>
      </c>
      <c r="F63" s="97">
        <f t="shared" si="26"/>
        <v>100000.00000000199</v>
      </c>
      <c r="G63" s="97">
        <f t="shared" si="27"/>
        <v>-100000</v>
      </c>
      <c r="H63" s="112">
        <f t="shared" si="28"/>
        <v>1.9936123862862589E-11</v>
      </c>
      <c r="I63" s="112">
        <f t="shared" si="29"/>
        <v>2.0135485101491214E-9</v>
      </c>
      <c r="M63" s="7">
        <f t="shared" si="2"/>
        <v>60</v>
      </c>
      <c r="N63" s="3">
        <f t="shared" si="0"/>
        <v>1.9936123862862589E-11</v>
      </c>
      <c r="O63" s="3">
        <f t="shared" si="7"/>
        <v>75674.314650477114</v>
      </c>
      <c r="P63" s="10">
        <f t="shared" si="19"/>
        <v>75674.314650477128</v>
      </c>
      <c r="Q63" s="3">
        <f t="shared" si="13"/>
        <v>100000</v>
      </c>
      <c r="R63" s="3">
        <f>+P63-Q63</f>
        <v>-24325.685349522872</v>
      </c>
      <c r="S63" s="6">
        <f>+R63+S62</f>
        <v>3.9144651964306831E-9</v>
      </c>
      <c r="T63" s="3">
        <f t="shared" si="15"/>
        <v>1.174339558929205E-9</v>
      </c>
      <c r="U63" s="13">
        <f>+T63</f>
        <v>1.174339558929205E-9</v>
      </c>
      <c r="W63" s="12" t="s">
        <v>39</v>
      </c>
      <c r="X63" s="13">
        <f>+X62*$U$2</f>
        <v>6.0406455304473643E-10</v>
      </c>
    </row>
    <row r="64" spans="5:24" x14ac:dyDescent="0.25">
      <c r="N64" s="6">
        <f>SUM(N4:N63)</f>
        <v>1459541.1209713775</v>
      </c>
      <c r="O64" s="6">
        <f>SUM(O4:O63)</f>
        <v>4540458.8790286211</v>
      </c>
      <c r="P64" s="6">
        <f>SUM(P4:P63)</f>
        <v>6000000.0000000037</v>
      </c>
      <c r="Q64" s="6">
        <f>SUM(Q4:Q63)</f>
        <v>6000000</v>
      </c>
      <c r="R64" s="6">
        <f>SUM(R4:R63)</f>
        <v>3.9144651964306831E-9</v>
      </c>
    </row>
    <row r="65" spans="15:17" x14ac:dyDescent="0.25">
      <c r="O65" s="6">
        <f>+N64+O64</f>
        <v>5999999.9999999981</v>
      </c>
      <c r="Q65" s="3"/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07194-C72E-46C9-BD24-69A4A1B0B6A3}">
  <dimension ref="A1:AM65"/>
  <sheetViews>
    <sheetView zoomScale="80" zoomScaleNormal="80" workbookViewId="0">
      <selection activeCell="A33" sqref="A33"/>
    </sheetView>
  </sheetViews>
  <sheetFormatPr baseColWidth="10" defaultRowHeight="15.75" x14ac:dyDescent="0.25"/>
  <cols>
    <col min="1" max="1" width="18.7109375" style="1" customWidth="1"/>
    <col min="2" max="4" width="11.42578125" style="1"/>
    <col min="5" max="5" width="3.42578125" style="1" bestFit="1" customWidth="1"/>
    <col min="6" max="9" width="11.42578125" style="1"/>
    <col min="10" max="12" width="4.5703125" style="1" customWidth="1"/>
    <col min="13" max="13" width="3.42578125" style="1" bestFit="1" customWidth="1"/>
    <col min="14" max="16" width="11.42578125" style="1"/>
    <col min="17" max="17" width="13.28515625" style="1" bestFit="1" customWidth="1"/>
    <col min="18" max="18" width="3.140625" style="1" customWidth="1"/>
    <col min="19" max="19" width="14" style="1" customWidth="1"/>
    <col min="20" max="20" width="14.28515625" style="1" customWidth="1"/>
    <col min="21" max="21" width="16.28515625" style="1" customWidth="1"/>
    <col min="22" max="22" width="11.42578125" style="5" customWidth="1"/>
    <col min="23" max="23" width="3.5703125" style="1" customWidth="1"/>
    <col min="24" max="24" width="2.140625" style="1" customWidth="1"/>
    <col min="25" max="25" width="27.140625" style="1" customWidth="1"/>
    <col min="26" max="30" width="13.140625" style="1" bestFit="1" customWidth="1"/>
    <col min="31" max="31" width="2.5703125" style="1" customWidth="1"/>
    <col min="32" max="32" width="11.42578125" style="1"/>
    <col min="33" max="33" width="6.28515625" style="1" customWidth="1"/>
    <col min="34" max="34" width="22.140625" style="1" bestFit="1" customWidth="1"/>
    <col min="35" max="16384" width="11.42578125" style="1"/>
  </cols>
  <sheetData>
    <row r="1" spans="1:39" s="2" customFormat="1" ht="23.25" x14ac:dyDescent="0.35">
      <c r="A1" s="2" t="s">
        <v>70</v>
      </c>
      <c r="Q1" s="43" t="s">
        <v>73</v>
      </c>
      <c r="V1" s="14"/>
    </row>
    <row r="2" spans="1:39" ht="16.5" thickBot="1" x14ac:dyDescent="0.3">
      <c r="A2" s="1" t="s">
        <v>0</v>
      </c>
      <c r="E2" s="8" t="s">
        <v>25</v>
      </c>
      <c r="F2" s="8"/>
      <c r="G2" s="7"/>
      <c r="H2" s="7"/>
      <c r="I2" s="7"/>
      <c r="M2" s="41" t="s">
        <v>71</v>
      </c>
      <c r="N2" s="42"/>
      <c r="O2" s="42"/>
      <c r="P2" s="42"/>
      <c r="Q2" s="43" t="s">
        <v>74</v>
      </c>
      <c r="S2" s="9" t="s">
        <v>31</v>
      </c>
      <c r="T2" s="9" t="s">
        <v>31</v>
      </c>
      <c r="U2" s="9" t="s">
        <v>34</v>
      </c>
      <c r="V2" s="67">
        <v>0.29499999999999998</v>
      </c>
    </row>
    <row r="3" spans="1:39" x14ac:dyDescent="0.25">
      <c r="E3" s="7"/>
      <c r="F3" s="9"/>
      <c r="G3" s="9"/>
      <c r="H3" s="9"/>
      <c r="I3" s="9"/>
      <c r="M3" s="7"/>
      <c r="N3" s="9" t="s">
        <v>72</v>
      </c>
      <c r="O3" s="9"/>
      <c r="P3" s="9" t="s">
        <v>30</v>
      </c>
      <c r="Q3" s="9" t="s">
        <v>29</v>
      </c>
      <c r="S3" s="9" t="s">
        <v>32</v>
      </c>
      <c r="T3" s="9" t="s">
        <v>33</v>
      </c>
      <c r="U3" s="9" t="s">
        <v>35</v>
      </c>
      <c r="Y3" s="15"/>
      <c r="Z3" s="16" t="s">
        <v>42</v>
      </c>
      <c r="AA3" s="16" t="s">
        <v>43</v>
      </c>
      <c r="AB3" s="16" t="s">
        <v>44</v>
      </c>
      <c r="AC3" s="16" t="s">
        <v>45</v>
      </c>
      <c r="AD3" s="17" t="s">
        <v>46</v>
      </c>
      <c r="AH3" s="15"/>
      <c r="AI3" s="16" t="s">
        <v>42</v>
      </c>
      <c r="AJ3" s="16" t="s">
        <v>43</v>
      </c>
      <c r="AK3" s="16" t="s">
        <v>44</v>
      </c>
      <c r="AL3" s="16" t="s">
        <v>45</v>
      </c>
      <c r="AM3" s="17" t="s">
        <v>46</v>
      </c>
    </row>
    <row r="4" spans="1:39" x14ac:dyDescent="0.25">
      <c r="A4" s="35" t="s">
        <v>1</v>
      </c>
      <c r="B4" s="36">
        <v>100000</v>
      </c>
      <c r="C4" s="35" t="s">
        <v>64</v>
      </c>
      <c r="E4" s="7">
        <v>1</v>
      </c>
      <c r="F4" s="39"/>
      <c r="G4" s="39"/>
      <c r="H4" s="39"/>
      <c r="I4" s="40"/>
      <c r="M4" s="7">
        <v>1</v>
      </c>
      <c r="N4" s="3">
        <f>+B4</f>
        <v>100000</v>
      </c>
      <c r="O4" s="3"/>
      <c r="P4" s="10">
        <f t="shared" ref="P4:P19" si="0">+N4+O4</f>
        <v>100000</v>
      </c>
      <c r="Q4" s="3">
        <f>+B4</f>
        <v>100000</v>
      </c>
      <c r="S4" s="3">
        <f t="shared" ref="S4:S26" si="1">+P4-Q4</f>
        <v>0</v>
      </c>
      <c r="T4" s="3">
        <f>+S4</f>
        <v>0</v>
      </c>
      <c r="U4" s="3">
        <f>+T4*$V$2</f>
        <v>0</v>
      </c>
      <c r="Y4" s="18" t="s">
        <v>47</v>
      </c>
      <c r="AD4" s="19"/>
      <c r="AH4" s="18" t="s">
        <v>47</v>
      </c>
      <c r="AM4" s="19"/>
    </row>
    <row r="5" spans="1:39" x14ac:dyDescent="0.25">
      <c r="A5" s="35" t="s">
        <v>2</v>
      </c>
      <c r="B5" s="35">
        <v>60</v>
      </c>
      <c r="C5" s="35" t="s">
        <v>3</v>
      </c>
      <c r="E5" s="7">
        <f>+E4+1</f>
        <v>2</v>
      </c>
      <c r="F5" s="38"/>
      <c r="G5" s="38"/>
      <c r="H5" s="38"/>
      <c r="I5" s="38"/>
      <c r="M5" s="7">
        <f>+M4+1</f>
        <v>2</v>
      </c>
      <c r="N5" s="3">
        <f>+N4</f>
        <v>100000</v>
      </c>
      <c r="O5" s="3"/>
      <c r="P5" s="10">
        <f t="shared" si="0"/>
        <v>100000</v>
      </c>
      <c r="Q5" s="3">
        <f>+Q4</f>
        <v>100000</v>
      </c>
      <c r="S5" s="3">
        <f t="shared" si="1"/>
        <v>0</v>
      </c>
      <c r="T5" s="3">
        <f t="shared" ref="T5:T27" si="2">+S5+T4</f>
        <v>0</v>
      </c>
      <c r="U5" s="3">
        <f>+T5*$V$2</f>
        <v>0</v>
      </c>
      <c r="Y5" s="18" t="s">
        <v>48</v>
      </c>
      <c r="AD5" s="19"/>
      <c r="AH5" s="18" t="s">
        <v>48</v>
      </c>
      <c r="AM5" s="19"/>
    </row>
    <row r="6" spans="1:39" x14ac:dyDescent="0.25">
      <c r="A6" s="35" t="s">
        <v>5</v>
      </c>
      <c r="B6" s="35"/>
      <c r="C6" s="35"/>
      <c r="E6" s="7">
        <f t="shared" ref="E6:E63" si="3">+E5+1</f>
        <v>3</v>
      </c>
      <c r="F6" s="38"/>
      <c r="G6" s="38"/>
      <c r="H6" s="38"/>
      <c r="I6" s="38"/>
      <c r="M6" s="7">
        <f t="shared" ref="M6:M63" si="4">+M5+1</f>
        <v>3</v>
      </c>
      <c r="N6" s="3">
        <f t="shared" ref="N6:N63" si="5">+N5</f>
        <v>100000</v>
      </c>
      <c r="O6" s="3"/>
      <c r="P6" s="10">
        <f t="shared" si="0"/>
        <v>100000</v>
      </c>
      <c r="Q6" s="3">
        <f t="shared" ref="Q6:Q63" si="6">+Q5</f>
        <v>100000</v>
      </c>
      <c r="S6" s="3">
        <f t="shared" si="1"/>
        <v>0</v>
      </c>
      <c r="T6" s="3">
        <f t="shared" si="2"/>
        <v>0</v>
      </c>
      <c r="U6" s="3">
        <f>+T6*$V$2</f>
        <v>0</v>
      </c>
      <c r="Y6" s="18" t="s">
        <v>49</v>
      </c>
      <c r="AD6" s="19"/>
      <c r="AH6" s="18" t="s">
        <v>49</v>
      </c>
      <c r="AM6" s="19"/>
    </row>
    <row r="7" spans="1:39" x14ac:dyDescent="0.25">
      <c r="A7" s="35" t="s">
        <v>6</v>
      </c>
      <c r="B7" s="37">
        <v>0.01</v>
      </c>
      <c r="C7" s="35"/>
      <c r="E7" s="7">
        <f t="shared" si="3"/>
        <v>4</v>
      </c>
      <c r="F7" s="4"/>
      <c r="G7" s="4"/>
      <c r="H7" s="4"/>
      <c r="I7" s="4"/>
      <c r="M7" s="7">
        <f t="shared" si="4"/>
        <v>4</v>
      </c>
      <c r="N7" s="3">
        <f t="shared" si="5"/>
        <v>100000</v>
      </c>
      <c r="O7" s="3"/>
      <c r="P7" s="10">
        <f t="shared" si="0"/>
        <v>100000</v>
      </c>
      <c r="Q7" s="3">
        <f t="shared" si="6"/>
        <v>100000</v>
      </c>
      <c r="S7" s="3">
        <f t="shared" si="1"/>
        <v>0</v>
      </c>
      <c r="T7" s="3">
        <f t="shared" si="2"/>
        <v>0</v>
      </c>
      <c r="U7" s="3">
        <f t="shared" ref="U7:U63" si="7">+T7*$V$2</f>
        <v>0</v>
      </c>
      <c r="Y7" s="18" t="s">
        <v>49</v>
      </c>
      <c r="AD7" s="19"/>
      <c r="AH7" s="18" t="s">
        <v>49</v>
      </c>
      <c r="AM7" s="19"/>
    </row>
    <row r="8" spans="1:39" x14ac:dyDescent="0.25">
      <c r="E8" s="7">
        <f t="shared" si="3"/>
        <v>5</v>
      </c>
      <c r="F8" s="4"/>
      <c r="G8" s="4"/>
      <c r="H8" s="4"/>
      <c r="I8" s="4"/>
      <c r="M8" s="7">
        <f t="shared" si="4"/>
        <v>5</v>
      </c>
      <c r="N8" s="3">
        <f t="shared" si="5"/>
        <v>100000</v>
      </c>
      <c r="O8" s="3"/>
      <c r="P8" s="10">
        <f t="shared" si="0"/>
        <v>100000</v>
      </c>
      <c r="Q8" s="3">
        <f t="shared" si="6"/>
        <v>100000</v>
      </c>
      <c r="S8" s="3">
        <f t="shared" si="1"/>
        <v>0</v>
      </c>
      <c r="T8" s="3">
        <f t="shared" si="2"/>
        <v>0</v>
      </c>
      <c r="U8" s="3">
        <f t="shared" si="7"/>
        <v>0</v>
      </c>
      <c r="Y8" s="18" t="s">
        <v>49</v>
      </c>
      <c r="AD8" s="19"/>
      <c r="AH8" s="18" t="s">
        <v>49</v>
      </c>
      <c r="AM8" s="19"/>
    </row>
    <row r="9" spans="1:39" x14ac:dyDescent="0.25">
      <c r="E9" s="7">
        <f t="shared" si="3"/>
        <v>6</v>
      </c>
      <c r="F9" s="4"/>
      <c r="G9" s="4"/>
      <c r="H9" s="4"/>
      <c r="I9" s="4"/>
      <c r="M9" s="7">
        <f t="shared" si="4"/>
        <v>6</v>
      </c>
      <c r="N9" s="3">
        <f t="shared" si="5"/>
        <v>100000</v>
      </c>
      <c r="O9" s="3"/>
      <c r="P9" s="10">
        <f t="shared" si="0"/>
        <v>100000</v>
      </c>
      <c r="Q9" s="3">
        <f t="shared" si="6"/>
        <v>100000</v>
      </c>
      <c r="S9" s="3">
        <f t="shared" si="1"/>
        <v>0</v>
      </c>
      <c r="T9" s="3">
        <f t="shared" si="2"/>
        <v>0</v>
      </c>
      <c r="U9" s="3">
        <f t="shared" si="7"/>
        <v>0</v>
      </c>
      <c r="Y9" s="18" t="s">
        <v>49</v>
      </c>
      <c r="AD9" s="19"/>
      <c r="AH9" s="18" t="s">
        <v>49</v>
      </c>
      <c r="AM9" s="19"/>
    </row>
    <row r="10" spans="1:39" x14ac:dyDescent="0.25">
      <c r="E10" s="7">
        <f t="shared" si="3"/>
        <v>7</v>
      </c>
      <c r="F10" s="4"/>
      <c r="G10" s="4"/>
      <c r="H10" s="4"/>
      <c r="I10" s="4"/>
      <c r="M10" s="7">
        <f t="shared" si="4"/>
        <v>7</v>
      </c>
      <c r="N10" s="3">
        <f t="shared" si="5"/>
        <v>100000</v>
      </c>
      <c r="O10" s="3"/>
      <c r="P10" s="10">
        <f t="shared" si="0"/>
        <v>100000</v>
      </c>
      <c r="Q10" s="3">
        <f t="shared" si="6"/>
        <v>100000</v>
      </c>
      <c r="S10" s="3">
        <f t="shared" si="1"/>
        <v>0</v>
      </c>
      <c r="T10" s="3">
        <f t="shared" si="2"/>
        <v>0</v>
      </c>
      <c r="U10" s="3">
        <f t="shared" si="7"/>
        <v>0</v>
      </c>
      <c r="Y10" s="26" t="s">
        <v>50</v>
      </c>
      <c r="Z10" s="27">
        <v>800000</v>
      </c>
      <c r="AA10" s="27">
        <v>800000</v>
      </c>
      <c r="AB10" s="27">
        <v>800000</v>
      </c>
      <c r="AC10" s="27">
        <v>800000</v>
      </c>
      <c r="AD10" s="31">
        <v>800000</v>
      </c>
      <c r="AH10" s="26" t="s">
        <v>50</v>
      </c>
      <c r="AI10" s="27">
        <f>+Z10+Z22+Z23+Z24</f>
        <v>800000</v>
      </c>
      <c r="AJ10" s="27">
        <f t="shared" ref="AJ10:AM10" si="8">+AA10+AA22+AA23+AA24</f>
        <v>800000</v>
      </c>
      <c r="AK10" s="27">
        <f t="shared" si="8"/>
        <v>800000</v>
      </c>
      <c r="AL10" s="27">
        <f t="shared" si="8"/>
        <v>800000</v>
      </c>
      <c r="AM10" s="27">
        <f t="shared" si="8"/>
        <v>800000</v>
      </c>
    </row>
    <row r="11" spans="1:39" x14ac:dyDescent="0.25">
      <c r="E11" s="7">
        <f t="shared" si="3"/>
        <v>8</v>
      </c>
      <c r="F11" s="4"/>
      <c r="G11" s="4"/>
      <c r="H11" s="4"/>
      <c r="I11" s="4"/>
      <c r="M11" s="7">
        <f t="shared" si="4"/>
        <v>8</v>
      </c>
      <c r="N11" s="3">
        <f t="shared" si="5"/>
        <v>100000</v>
      </c>
      <c r="O11" s="3"/>
      <c r="P11" s="10">
        <f t="shared" si="0"/>
        <v>100000</v>
      </c>
      <c r="Q11" s="3">
        <f t="shared" si="6"/>
        <v>100000</v>
      </c>
      <c r="S11" s="3">
        <f t="shared" si="1"/>
        <v>0</v>
      </c>
      <c r="T11" s="3">
        <f t="shared" si="2"/>
        <v>0</v>
      </c>
      <c r="U11" s="3">
        <f t="shared" si="7"/>
        <v>0</v>
      </c>
      <c r="Y11" s="18" t="s">
        <v>51</v>
      </c>
      <c r="AD11" s="19"/>
      <c r="AH11" s="18" t="s">
        <v>51</v>
      </c>
      <c r="AM11" s="19"/>
    </row>
    <row r="12" spans="1:39" s="5" customFormat="1" ht="16.5" thickBot="1" x14ac:dyDescent="0.3">
      <c r="A12" s="1"/>
      <c r="B12" s="1"/>
      <c r="C12" s="1"/>
      <c r="E12" s="8">
        <f t="shared" si="3"/>
        <v>9</v>
      </c>
      <c r="F12" s="62"/>
      <c r="G12" s="62"/>
      <c r="H12" s="62"/>
      <c r="I12" s="62"/>
      <c r="M12" s="8">
        <f t="shared" si="4"/>
        <v>9</v>
      </c>
      <c r="N12" s="3">
        <f t="shared" si="5"/>
        <v>100000</v>
      </c>
      <c r="O12" s="63"/>
      <c r="P12" s="13">
        <f t="shared" si="0"/>
        <v>100000</v>
      </c>
      <c r="Q12" s="63">
        <f t="shared" si="6"/>
        <v>100000</v>
      </c>
      <c r="S12" s="63">
        <f t="shared" si="1"/>
        <v>0</v>
      </c>
      <c r="T12" s="63">
        <f t="shared" si="2"/>
        <v>0</v>
      </c>
      <c r="U12" s="63">
        <f t="shared" si="7"/>
        <v>0</v>
      </c>
      <c r="Y12" s="64" t="s">
        <v>52</v>
      </c>
      <c r="Z12" s="65">
        <f>+Z26</f>
        <v>-236000</v>
      </c>
      <c r="AA12" s="65">
        <f>+AA26</f>
        <v>-236000</v>
      </c>
      <c r="AB12" s="65">
        <f>+AB26</f>
        <v>-236000</v>
      </c>
      <c r="AC12" s="65">
        <f>+AC26</f>
        <v>-236000</v>
      </c>
      <c r="AD12" s="66">
        <f>+AD26</f>
        <v>-236000</v>
      </c>
      <c r="AF12" s="5" t="s">
        <v>68</v>
      </c>
      <c r="AH12" s="64" t="s">
        <v>52</v>
      </c>
      <c r="AI12" s="65">
        <f>-AI10*0.295</f>
        <v>-236000</v>
      </c>
      <c r="AJ12" s="65">
        <f t="shared" ref="AJ12:AM12" si="9">-AJ10*0.295</f>
        <v>-236000</v>
      </c>
      <c r="AK12" s="65">
        <f t="shared" si="9"/>
        <v>-236000</v>
      </c>
      <c r="AL12" s="65">
        <f t="shared" si="9"/>
        <v>-236000</v>
      </c>
      <c r="AM12" s="65">
        <f t="shared" si="9"/>
        <v>-236000</v>
      </c>
    </row>
    <row r="13" spans="1:39" ht="16.5" thickBot="1" x14ac:dyDescent="0.3">
      <c r="E13" s="7">
        <f t="shared" si="3"/>
        <v>10</v>
      </c>
      <c r="F13" s="4"/>
      <c r="G13" s="4"/>
      <c r="H13" s="4"/>
      <c r="I13" s="4"/>
      <c r="M13" s="7">
        <f t="shared" si="4"/>
        <v>10</v>
      </c>
      <c r="N13" s="3">
        <f t="shared" si="5"/>
        <v>100000</v>
      </c>
      <c r="O13" s="3"/>
      <c r="P13" s="10">
        <f t="shared" si="0"/>
        <v>100000</v>
      </c>
      <c r="Q13" s="3">
        <f t="shared" si="6"/>
        <v>100000</v>
      </c>
      <c r="S13" s="3">
        <f t="shared" si="1"/>
        <v>0</v>
      </c>
      <c r="T13" s="3">
        <f t="shared" si="2"/>
        <v>0</v>
      </c>
      <c r="U13" s="3">
        <f t="shared" si="7"/>
        <v>0</v>
      </c>
      <c r="Y13" s="32" t="s">
        <v>67</v>
      </c>
      <c r="Z13" s="61">
        <f>SUM(Z22:Z24)*$Y$27</f>
        <v>0</v>
      </c>
      <c r="AA13" s="61">
        <f>SUM(AA22:AA24)*$Y$27</f>
        <v>0</v>
      </c>
      <c r="AB13" s="61">
        <f>SUM(AB22:AB24)*$Y$27</f>
        <v>0</v>
      </c>
      <c r="AC13" s="61">
        <f>SUM(AC22:AC24)*$Y$27</f>
        <v>0</v>
      </c>
      <c r="AD13" s="33">
        <f>SUM(AD22:AD24)*$Y$27</f>
        <v>0</v>
      </c>
      <c r="AF13" s="34">
        <f>SUM(Z13:AD13)</f>
        <v>0</v>
      </c>
      <c r="AH13" s="32" t="s">
        <v>67</v>
      </c>
      <c r="AI13" s="61">
        <f>SUM(AI22:AI24)*$Y$27</f>
        <v>0</v>
      </c>
      <c r="AJ13" s="61">
        <f>SUM(AJ22:AJ24)*$Y$27</f>
        <v>0</v>
      </c>
      <c r="AK13" s="61">
        <f>SUM(AK22:AK24)*$Y$27</f>
        <v>0</v>
      </c>
      <c r="AL13" s="61">
        <f>SUM(AL22:AL24)*$Y$27</f>
        <v>0</v>
      </c>
      <c r="AM13" s="33">
        <f>SUM(AM22:AM24)*$Y$27</f>
        <v>0</v>
      </c>
    </row>
    <row r="14" spans="1:39" ht="16.5" thickBot="1" x14ac:dyDescent="0.3">
      <c r="E14" s="7">
        <f t="shared" si="3"/>
        <v>11</v>
      </c>
      <c r="F14" s="4"/>
      <c r="G14" s="4"/>
      <c r="H14" s="4"/>
      <c r="I14" s="4"/>
      <c r="M14" s="7">
        <f t="shared" si="4"/>
        <v>11</v>
      </c>
      <c r="N14" s="3">
        <f t="shared" si="5"/>
        <v>100000</v>
      </c>
      <c r="O14" s="3"/>
      <c r="P14" s="10">
        <f t="shared" si="0"/>
        <v>100000</v>
      </c>
      <c r="Q14" s="3">
        <f t="shared" si="6"/>
        <v>100000</v>
      </c>
      <c r="S14" s="3">
        <f t="shared" si="1"/>
        <v>0</v>
      </c>
      <c r="T14" s="3">
        <f t="shared" si="2"/>
        <v>0</v>
      </c>
      <c r="U14" s="3">
        <f t="shared" si="7"/>
        <v>0</v>
      </c>
      <c r="Y14" s="20" t="s">
        <v>53</v>
      </c>
      <c r="Z14" s="21">
        <f>SUM(Z10:Z13)</f>
        <v>564000</v>
      </c>
      <c r="AA14" s="21">
        <f t="shared" ref="AA14:AD14" si="10">SUM(AA10:AA13)</f>
        <v>564000</v>
      </c>
      <c r="AB14" s="21">
        <f t="shared" si="10"/>
        <v>564000</v>
      </c>
      <c r="AC14" s="21">
        <f t="shared" si="10"/>
        <v>564000</v>
      </c>
      <c r="AD14" s="22">
        <f t="shared" si="10"/>
        <v>564000</v>
      </c>
      <c r="AH14" s="20" t="s">
        <v>53</v>
      </c>
      <c r="AI14" s="21">
        <f>SUM(AI10:AI13)</f>
        <v>564000</v>
      </c>
      <c r="AJ14" s="21">
        <f t="shared" ref="AJ14:AM14" si="11">SUM(AJ10:AJ13)</f>
        <v>564000</v>
      </c>
      <c r="AK14" s="21">
        <f t="shared" si="11"/>
        <v>564000</v>
      </c>
      <c r="AL14" s="21">
        <f t="shared" si="11"/>
        <v>564000</v>
      </c>
      <c r="AM14" s="22">
        <f t="shared" si="11"/>
        <v>564000</v>
      </c>
    </row>
    <row r="15" spans="1:39" x14ac:dyDescent="0.25">
      <c r="E15" s="7">
        <f t="shared" si="3"/>
        <v>12</v>
      </c>
      <c r="F15" s="4"/>
      <c r="G15" s="4"/>
      <c r="H15" s="4"/>
      <c r="I15" s="4"/>
      <c r="M15" s="7">
        <f t="shared" si="4"/>
        <v>12</v>
      </c>
      <c r="N15" s="3">
        <f t="shared" si="5"/>
        <v>100000</v>
      </c>
      <c r="O15" s="3"/>
      <c r="P15" s="10">
        <f t="shared" si="0"/>
        <v>100000</v>
      </c>
      <c r="Q15" s="10">
        <f t="shared" si="6"/>
        <v>100000</v>
      </c>
      <c r="R15" s="11"/>
      <c r="S15" s="10">
        <f t="shared" si="1"/>
        <v>0</v>
      </c>
      <c r="T15" s="10">
        <f t="shared" si="2"/>
        <v>0</v>
      </c>
      <c r="U15" s="13">
        <f t="shared" si="7"/>
        <v>0</v>
      </c>
      <c r="V15" s="13">
        <f>+U15</f>
        <v>0</v>
      </c>
      <c r="Y15" s="60" t="s">
        <v>69</v>
      </c>
      <c r="Z15" s="29">
        <f>-(Z12+Z13)/Z10</f>
        <v>0.29499999999999998</v>
      </c>
      <c r="AA15" s="29">
        <f t="shared" ref="AA15:AD15" si="12">-(AA12+AA13)/AA10</f>
        <v>0.29499999999999998</v>
      </c>
      <c r="AB15" s="29">
        <f t="shared" si="12"/>
        <v>0.29499999999999998</v>
      </c>
      <c r="AC15" s="29">
        <f t="shared" si="12"/>
        <v>0.29499999999999998</v>
      </c>
      <c r="AD15" s="29">
        <f t="shared" si="12"/>
        <v>0.29499999999999998</v>
      </c>
    </row>
    <row r="16" spans="1:39" x14ac:dyDescent="0.25">
      <c r="E16" s="7">
        <f t="shared" si="3"/>
        <v>13</v>
      </c>
      <c r="F16" s="4"/>
      <c r="G16" s="4"/>
      <c r="H16" s="4"/>
      <c r="I16" s="4"/>
      <c r="M16" s="7">
        <f t="shared" si="4"/>
        <v>13</v>
      </c>
      <c r="N16" s="3">
        <f t="shared" si="5"/>
        <v>100000</v>
      </c>
      <c r="O16" s="3"/>
      <c r="P16" s="10">
        <f t="shared" si="0"/>
        <v>100000</v>
      </c>
      <c r="Q16" s="3">
        <f t="shared" si="6"/>
        <v>100000</v>
      </c>
      <c r="S16" s="3">
        <f t="shared" si="1"/>
        <v>0</v>
      </c>
      <c r="T16" s="3">
        <f t="shared" si="2"/>
        <v>0</v>
      </c>
      <c r="U16" s="3">
        <f t="shared" si="7"/>
        <v>0</v>
      </c>
      <c r="Z16" s="60"/>
      <c r="AA16" s="63"/>
      <c r="AB16" s="63"/>
      <c r="AC16" s="3"/>
      <c r="AD16" s="3"/>
    </row>
    <row r="17" spans="4:31" x14ac:dyDescent="0.25">
      <c r="E17" s="7">
        <f t="shared" si="3"/>
        <v>14</v>
      </c>
      <c r="F17" s="4"/>
      <c r="G17" s="4"/>
      <c r="H17" s="4"/>
      <c r="I17" s="4"/>
      <c r="M17" s="7">
        <f t="shared" si="4"/>
        <v>14</v>
      </c>
      <c r="N17" s="3">
        <f t="shared" si="5"/>
        <v>100000</v>
      </c>
      <c r="O17" s="3"/>
      <c r="P17" s="10">
        <f t="shared" si="0"/>
        <v>100000</v>
      </c>
      <c r="Q17" s="3">
        <f t="shared" si="6"/>
        <v>100000</v>
      </c>
      <c r="S17" s="3">
        <f t="shared" si="1"/>
        <v>0</v>
      </c>
      <c r="T17" s="3">
        <f t="shared" si="2"/>
        <v>0</v>
      </c>
      <c r="U17" s="3">
        <f t="shared" si="7"/>
        <v>0</v>
      </c>
      <c r="Y17" s="30" t="s">
        <v>61</v>
      </c>
      <c r="Z17" s="27">
        <f>+Z12+Z13</f>
        <v>-236000</v>
      </c>
      <c r="AA17" s="27">
        <f t="shared" ref="AA17:AD17" si="13">+AA12+AA13</f>
        <v>-236000</v>
      </c>
      <c r="AB17" s="27">
        <f t="shared" si="13"/>
        <v>-236000</v>
      </c>
      <c r="AC17" s="27">
        <f t="shared" si="13"/>
        <v>-236000</v>
      </c>
      <c r="AD17" s="27">
        <f t="shared" si="13"/>
        <v>-236000</v>
      </c>
    </row>
    <row r="18" spans="4:31" x14ac:dyDescent="0.25">
      <c r="E18" s="7">
        <f t="shared" si="3"/>
        <v>15</v>
      </c>
      <c r="F18" s="4"/>
      <c r="G18" s="4"/>
      <c r="H18" s="4"/>
      <c r="I18" s="4"/>
      <c r="M18" s="7">
        <f t="shared" si="4"/>
        <v>15</v>
      </c>
      <c r="N18" s="3">
        <f t="shared" si="5"/>
        <v>100000</v>
      </c>
      <c r="O18" s="3"/>
      <c r="P18" s="10">
        <f t="shared" si="0"/>
        <v>100000</v>
      </c>
      <c r="Q18" s="3">
        <f t="shared" si="6"/>
        <v>100000</v>
      </c>
      <c r="S18" s="3">
        <f t="shared" si="1"/>
        <v>0</v>
      </c>
      <c r="T18" s="3">
        <f t="shared" si="2"/>
        <v>0</v>
      </c>
      <c r="U18" s="3">
        <f t="shared" si="7"/>
        <v>0</v>
      </c>
    </row>
    <row r="19" spans="4:31" ht="16.5" thickBot="1" x14ac:dyDescent="0.3">
      <c r="E19" s="7">
        <f t="shared" si="3"/>
        <v>16</v>
      </c>
      <c r="F19" s="4"/>
      <c r="G19" s="4"/>
      <c r="H19" s="4"/>
      <c r="I19" s="4"/>
      <c r="M19" s="7">
        <f t="shared" si="4"/>
        <v>16</v>
      </c>
      <c r="N19" s="3">
        <f t="shared" si="5"/>
        <v>100000</v>
      </c>
      <c r="O19" s="3"/>
      <c r="P19" s="10">
        <f t="shared" si="0"/>
        <v>100000</v>
      </c>
      <c r="Q19" s="3">
        <f t="shared" si="6"/>
        <v>100000</v>
      </c>
      <c r="S19" s="3">
        <f t="shared" si="1"/>
        <v>0</v>
      </c>
      <c r="T19" s="3">
        <f t="shared" si="2"/>
        <v>0</v>
      </c>
      <c r="U19" s="3">
        <f t="shared" si="7"/>
        <v>0</v>
      </c>
      <c r="Y19" s="1" t="s">
        <v>54</v>
      </c>
    </row>
    <row r="20" spans="4:31" ht="16.5" thickBot="1" x14ac:dyDescent="0.3">
      <c r="D20" s="1" t="s">
        <v>16</v>
      </c>
      <c r="E20" s="7">
        <f t="shared" si="3"/>
        <v>17</v>
      </c>
      <c r="F20" s="4"/>
      <c r="G20" s="4"/>
      <c r="H20" s="4"/>
      <c r="I20" s="4"/>
      <c r="M20" s="7">
        <f t="shared" si="4"/>
        <v>17</v>
      </c>
      <c r="N20" s="3">
        <f t="shared" si="5"/>
        <v>100000</v>
      </c>
      <c r="O20" s="3"/>
      <c r="P20" s="10">
        <f t="shared" ref="P20:P63" si="14">+N20+O20</f>
        <v>100000</v>
      </c>
      <c r="Q20" s="3">
        <f t="shared" si="6"/>
        <v>100000</v>
      </c>
      <c r="S20" s="3">
        <f t="shared" si="1"/>
        <v>0</v>
      </c>
      <c r="T20" s="3">
        <f t="shared" si="2"/>
        <v>0</v>
      </c>
      <c r="U20" s="3">
        <f t="shared" si="7"/>
        <v>0</v>
      </c>
      <c r="Y20" s="28" t="s">
        <v>55</v>
      </c>
      <c r="Z20" s="23"/>
      <c r="AA20" s="23"/>
      <c r="AB20" s="23"/>
      <c r="AC20" s="23"/>
      <c r="AD20" s="24"/>
    </row>
    <row r="21" spans="4:31" ht="16.5" thickBot="1" x14ac:dyDescent="0.3">
      <c r="E21" s="7">
        <f t="shared" si="3"/>
        <v>18</v>
      </c>
      <c r="F21" s="4"/>
      <c r="G21" s="4"/>
      <c r="H21" s="4"/>
      <c r="I21" s="4"/>
      <c r="M21" s="7">
        <f t="shared" si="4"/>
        <v>18</v>
      </c>
      <c r="N21" s="3">
        <f t="shared" si="5"/>
        <v>100000</v>
      </c>
      <c r="O21" s="3"/>
      <c r="P21" s="10">
        <f t="shared" si="14"/>
        <v>100000</v>
      </c>
      <c r="Q21" s="3">
        <f t="shared" si="6"/>
        <v>100000</v>
      </c>
      <c r="S21" s="3">
        <f t="shared" si="1"/>
        <v>0</v>
      </c>
      <c r="T21" s="3">
        <f t="shared" si="2"/>
        <v>0</v>
      </c>
      <c r="U21" s="3">
        <f t="shared" si="7"/>
        <v>0</v>
      </c>
      <c r="Y21" s="52" t="s">
        <v>56</v>
      </c>
      <c r="Z21" s="53">
        <f>+Z10</f>
        <v>800000</v>
      </c>
      <c r="AA21" s="53">
        <f>+AA10</f>
        <v>800000</v>
      </c>
      <c r="AB21" s="53">
        <f>+AB10</f>
        <v>800000</v>
      </c>
      <c r="AC21" s="53">
        <f>+AC10</f>
        <v>800000</v>
      </c>
      <c r="AD21" s="54">
        <f>+AD10</f>
        <v>800000</v>
      </c>
    </row>
    <row r="22" spans="4:31" x14ac:dyDescent="0.25">
      <c r="E22" s="7">
        <f t="shared" si="3"/>
        <v>19</v>
      </c>
      <c r="F22" s="4"/>
      <c r="G22" s="4"/>
      <c r="H22" s="4"/>
      <c r="I22" s="4"/>
      <c r="M22" s="7">
        <f t="shared" si="4"/>
        <v>19</v>
      </c>
      <c r="N22" s="3">
        <f t="shared" si="5"/>
        <v>100000</v>
      </c>
      <c r="O22" s="3"/>
      <c r="P22" s="10">
        <f t="shared" si="14"/>
        <v>100000</v>
      </c>
      <c r="Q22" s="3">
        <f t="shared" si="6"/>
        <v>100000</v>
      </c>
      <c r="S22" s="3">
        <f t="shared" si="1"/>
        <v>0</v>
      </c>
      <c r="T22" s="3">
        <f t="shared" si="2"/>
        <v>0</v>
      </c>
      <c r="U22" s="3">
        <f t="shared" si="7"/>
        <v>0</v>
      </c>
      <c r="Y22" s="25" t="s">
        <v>58</v>
      </c>
      <c r="Z22" s="3"/>
      <c r="AA22" s="3"/>
      <c r="AB22" s="3"/>
      <c r="AC22" s="3"/>
      <c r="AD22" s="44"/>
    </row>
    <row r="23" spans="4:31" x14ac:dyDescent="0.25">
      <c r="E23" s="7">
        <f t="shared" si="3"/>
        <v>20</v>
      </c>
      <c r="F23" s="4"/>
      <c r="G23" s="4"/>
      <c r="H23" s="4"/>
      <c r="I23" s="4"/>
      <c r="M23" s="7">
        <f t="shared" si="4"/>
        <v>20</v>
      </c>
      <c r="N23" s="3">
        <f t="shared" si="5"/>
        <v>100000</v>
      </c>
      <c r="O23" s="3"/>
      <c r="P23" s="10">
        <f t="shared" si="14"/>
        <v>100000</v>
      </c>
      <c r="Q23" s="3">
        <f t="shared" si="6"/>
        <v>100000</v>
      </c>
      <c r="S23" s="3">
        <f t="shared" si="1"/>
        <v>0</v>
      </c>
      <c r="T23" s="3">
        <f t="shared" si="2"/>
        <v>0</v>
      </c>
      <c r="U23" s="3">
        <f t="shared" si="7"/>
        <v>0</v>
      </c>
      <c r="Y23" s="25" t="s">
        <v>59</v>
      </c>
      <c r="Z23" s="3"/>
      <c r="AA23" s="3"/>
      <c r="AB23" s="3"/>
      <c r="AC23" s="3"/>
      <c r="AD23" s="44"/>
    </row>
    <row r="24" spans="4:31" ht="16.5" thickBot="1" x14ac:dyDescent="0.3">
      <c r="E24" s="7">
        <f t="shared" si="3"/>
        <v>21</v>
      </c>
      <c r="F24" s="4"/>
      <c r="G24" s="4"/>
      <c r="H24" s="4"/>
      <c r="I24" s="4"/>
      <c r="M24" s="7">
        <f t="shared" si="4"/>
        <v>21</v>
      </c>
      <c r="N24" s="3">
        <f t="shared" si="5"/>
        <v>100000</v>
      </c>
      <c r="O24" s="3"/>
      <c r="P24" s="10">
        <f t="shared" si="14"/>
        <v>100000</v>
      </c>
      <c r="Q24" s="3">
        <f t="shared" si="6"/>
        <v>100000</v>
      </c>
      <c r="S24" s="3">
        <f t="shared" si="1"/>
        <v>0</v>
      </c>
      <c r="T24" s="3">
        <f t="shared" si="2"/>
        <v>0</v>
      </c>
      <c r="U24" s="3">
        <f t="shared" si="7"/>
        <v>0</v>
      </c>
      <c r="Y24" s="25" t="s">
        <v>19</v>
      </c>
      <c r="Z24" s="3"/>
      <c r="AA24" s="3"/>
      <c r="AB24" s="3"/>
      <c r="AC24" s="3"/>
      <c r="AD24" s="44"/>
      <c r="AE24" s="3"/>
    </row>
    <row r="25" spans="4:31" ht="16.5" thickBot="1" x14ac:dyDescent="0.3">
      <c r="E25" s="7">
        <f t="shared" si="3"/>
        <v>22</v>
      </c>
      <c r="F25" s="4"/>
      <c r="G25" s="4"/>
      <c r="H25" s="4"/>
      <c r="I25" s="4"/>
      <c r="M25" s="7">
        <f t="shared" si="4"/>
        <v>22</v>
      </c>
      <c r="N25" s="3">
        <f t="shared" si="5"/>
        <v>100000</v>
      </c>
      <c r="O25" s="3"/>
      <c r="P25" s="10">
        <f t="shared" si="14"/>
        <v>100000</v>
      </c>
      <c r="Q25" s="3">
        <f t="shared" si="6"/>
        <v>100000</v>
      </c>
      <c r="S25" s="3">
        <f t="shared" si="1"/>
        <v>0</v>
      </c>
      <c r="T25" s="3">
        <f t="shared" si="2"/>
        <v>0</v>
      </c>
      <c r="U25" s="3">
        <f t="shared" si="7"/>
        <v>0</v>
      </c>
      <c r="Y25" s="52" t="s">
        <v>57</v>
      </c>
      <c r="Z25" s="53">
        <f>SUM(Z21:Z24)</f>
        <v>800000</v>
      </c>
      <c r="AA25" s="53">
        <f t="shared" ref="AA25:AD25" si="15">SUM(AA21:AA24)</f>
        <v>800000</v>
      </c>
      <c r="AB25" s="53">
        <f t="shared" si="15"/>
        <v>800000</v>
      </c>
      <c r="AC25" s="53">
        <f t="shared" si="15"/>
        <v>800000</v>
      </c>
      <c r="AD25" s="54">
        <f t="shared" si="15"/>
        <v>800000</v>
      </c>
    </row>
    <row r="26" spans="4:31" ht="16.5" thickBot="1" x14ac:dyDescent="0.3">
      <c r="E26" s="7">
        <f t="shared" si="3"/>
        <v>23</v>
      </c>
      <c r="F26" s="4"/>
      <c r="G26" s="4"/>
      <c r="H26" s="4"/>
      <c r="I26" s="4"/>
      <c r="M26" s="7">
        <f t="shared" si="4"/>
        <v>23</v>
      </c>
      <c r="N26" s="3">
        <f t="shared" si="5"/>
        <v>100000</v>
      </c>
      <c r="O26" s="3"/>
      <c r="P26" s="10">
        <f t="shared" si="14"/>
        <v>100000</v>
      </c>
      <c r="Q26" s="3">
        <f t="shared" si="6"/>
        <v>100000</v>
      </c>
      <c r="S26" s="3">
        <f t="shared" si="1"/>
        <v>0</v>
      </c>
      <c r="T26" s="3">
        <f t="shared" si="2"/>
        <v>0</v>
      </c>
      <c r="U26" s="3">
        <f t="shared" si="7"/>
        <v>0</v>
      </c>
      <c r="Y26" s="55" t="s">
        <v>60</v>
      </c>
      <c r="Z26" s="56">
        <f>-Z25*$Y$27</f>
        <v>-236000</v>
      </c>
      <c r="AA26" s="56">
        <f>-AA25*$Y$27</f>
        <v>-236000</v>
      </c>
      <c r="AB26" s="56">
        <f>-AB25*$Y$27</f>
        <v>-236000</v>
      </c>
      <c r="AC26" s="56">
        <f>-AC25*$Y$27</f>
        <v>-236000</v>
      </c>
      <c r="AD26" s="57">
        <f>-AD25*$Y$27</f>
        <v>-236000</v>
      </c>
    </row>
    <row r="27" spans="4:31" ht="16.5" thickBot="1" x14ac:dyDescent="0.3">
      <c r="E27" s="7">
        <f t="shared" si="3"/>
        <v>24</v>
      </c>
      <c r="F27" s="4"/>
      <c r="G27" s="4"/>
      <c r="H27" s="4"/>
      <c r="I27" s="4"/>
      <c r="M27" s="7">
        <f t="shared" si="4"/>
        <v>24</v>
      </c>
      <c r="N27" s="3">
        <f t="shared" si="5"/>
        <v>100000</v>
      </c>
      <c r="O27" s="3"/>
      <c r="P27" s="10">
        <f t="shared" si="14"/>
        <v>100000</v>
      </c>
      <c r="Q27" s="10">
        <f t="shared" si="6"/>
        <v>100000</v>
      </c>
      <c r="R27" s="11"/>
      <c r="S27" s="10">
        <f t="shared" ref="S27:S63" si="16">+P27-Q27</f>
        <v>0</v>
      </c>
      <c r="T27" s="10">
        <f t="shared" si="2"/>
        <v>0</v>
      </c>
      <c r="U27" s="10">
        <f t="shared" si="7"/>
        <v>0</v>
      </c>
      <c r="V27" s="13">
        <f>+U27</f>
        <v>0</v>
      </c>
      <c r="Y27" s="29">
        <v>0.29499999999999998</v>
      </c>
    </row>
    <row r="28" spans="4:31" ht="16.5" thickBot="1" x14ac:dyDescent="0.3">
      <c r="E28" s="7">
        <f t="shared" si="3"/>
        <v>25</v>
      </c>
      <c r="F28" s="4"/>
      <c r="G28" s="4"/>
      <c r="H28" s="4"/>
      <c r="I28" s="4"/>
      <c r="M28" s="7">
        <f t="shared" si="4"/>
        <v>25</v>
      </c>
      <c r="N28" s="3">
        <f t="shared" si="5"/>
        <v>100000</v>
      </c>
      <c r="O28" s="3"/>
      <c r="P28" s="10">
        <f t="shared" si="14"/>
        <v>100000</v>
      </c>
      <c r="Q28" s="3">
        <f t="shared" si="6"/>
        <v>100000</v>
      </c>
      <c r="S28" s="3">
        <f t="shared" si="16"/>
        <v>0</v>
      </c>
      <c r="T28" s="3">
        <f t="shared" ref="T28:T59" si="17">+S28+T27</f>
        <v>0</v>
      </c>
      <c r="U28" s="3">
        <f t="shared" si="7"/>
        <v>0</v>
      </c>
      <c r="AA28" s="58" t="s">
        <v>12</v>
      </c>
      <c r="AB28" s="59" t="s">
        <v>13</v>
      </c>
    </row>
    <row r="29" spans="4:31" x14ac:dyDescent="0.25">
      <c r="E29" s="7">
        <f t="shared" si="3"/>
        <v>26</v>
      </c>
      <c r="F29" s="4"/>
      <c r="G29" s="4"/>
      <c r="H29" s="4"/>
      <c r="I29" s="4"/>
      <c r="M29" s="7">
        <f t="shared" si="4"/>
        <v>26</v>
      </c>
      <c r="N29" s="3">
        <f t="shared" si="5"/>
        <v>100000</v>
      </c>
      <c r="O29" s="3"/>
      <c r="P29" s="10">
        <f t="shared" si="14"/>
        <v>100000</v>
      </c>
      <c r="Q29" s="3">
        <f t="shared" si="6"/>
        <v>100000</v>
      </c>
      <c r="S29" s="3">
        <f t="shared" si="16"/>
        <v>0</v>
      </c>
      <c r="T29" s="3">
        <f t="shared" ref="T29:T38" si="18">+S29+T28</f>
        <v>0</v>
      </c>
      <c r="U29" s="3">
        <f t="shared" si="7"/>
        <v>0</v>
      </c>
      <c r="Y29" s="45" t="s">
        <v>65</v>
      </c>
      <c r="Z29" s="46">
        <v>881</v>
      </c>
      <c r="AA29" s="47">
        <f>+-Z26</f>
        <v>236000</v>
      </c>
      <c r="AB29" s="48"/>
    </row>
    <row r="30" spans="4:31" ht="16.5" thickBot="1" x14ac:dyDescent="0.3">
      <c r="E30" s="7">
        <f t="shared" si="3"/>
        <v>27</v>
      </c>
      <c r="F30" s="4"/>
      <c r="G30" s="4"/>
      <c r="H30" s="4"/>
      <c r="I30" s="4"/>
      <c r="M30" s="7">
        <f t="shared" si="4"/>
        <v>27</v>
      </c>
      <c r="N30" s="3">
        <f t="shared" si="5"/>
        <v>100000</v>
      </c>
      <c r="O30" s="3"/>
      <c r="P30" s="10">
        <f t="shared" si="14"/>
        <v>100000</v>
      </c>
      <c r="Q30" s="3">
        <f t="shared" si="6"/>
        <v>100000</v>
      </c>
      <c r="S30" s="3">
        <f t="shared" si="16"/>
        <v>0</v>
      </c>
      <c r="T30" s="3">
        <f t="shared" si="18"/>
        <v>0</v>
      </c>
      <c r="U30" s="3">
        <f t="shared" si="7"/>
        <v>0</v>
      </c>
      <c r="Y30" s="49" t="s">
        <v>66</v>
      </c>
      <c r="Z30" s="50">
        <v>4017</v>
      </c>
      <c r="AA30" s="50"/>
      <c r="AB30" s="51">
        <f>+AA29</f>
        <v>236000</v>
      </c>
    </row>
    <row r="31" spans="4:31" x14ac:dyDescent="0.25">
      <c r="E31" s="7">
        <f t="shared" si="3"/>
        <v>28</v>
      </c>
      <c r="F31" s="4"/>
      <c r="G31" s="4"/>
      <c r="H31" s="4"/>
      <c r="I31" s="4"/>
      <c r="M31" s="7">
        <f t="shared" si="4"/>
        <v>28</v>
      </c>
      <c r="N31" s="3">
        <f t="shared" si="5"/>
        <v>100000</v>
      </c>
      <c r="O31" s="3"/>
      <c r="P31" s="10">
        <f t="shared" si="14"/>
        <v>100000</v>
      </c>
      <c r="Q31" s="3">
        <f t="shared" si="6"/>
        <v>100000</v>
      </c>
      <c r="S31" s="3">
        <f t="shared" si="16"/>
        <v>0</v>
      </c>
      <c r="T31" s="3">
        <f t="shared" si="18"/>
        <v>0</v>
      </c>
      <c r="U31" s="3">
        <f t="shared" si="7"/>
        <v>0</v>
      </c>
    </row>
    <row r="32" spans="4:31" x14ac:dyDescent="0.25">
      <c r="E32" s="7">
        <f t="shared" si="3"/>
        <v>29</v>
      </c>
      <c r="F32" s="4"/>
      <c r="G32" s="4"/>
      <c r="H32" s="4"/>
      <c r="I32" s="4"/>
      <c r="M32" s="7">
        <f t="shared" si="4"/>
        <v>29</v>
      </c>
      <c r="N32" s="3">
        <f t="shared" si="5"/>
        <v>100000</v>
      </c>
      <c r="O32" s="3"/>
      <c r="P32" s="10">
        <f t="shared" si="14"/>
        <v>100000</v>
      </c>
      <c r="Q32" s="3">
        <f t="shared" si="6"/>
        <v>100000</v>
      </c>
      <c r="S32" s="3">
        <f t="shared" si="16"/>
        <v>0</v>
      </c>
      <c r="T32" s="3">
        <f t="shared" si="18"/>
        <v>0</v>
      </c>
      <c r="U32" s="3">
        <f t="shared" si="7"/>
        <v>0</v>
      </c>
    </row>
    <row r="33" spans="5:22" x14ac:dyDescent="0.25">
      <c r="E33" s="7">
        <f t="shared" si="3"/>
        <v>30</v>
      </c>
      <c r="F33" s="4"/>
      <c r="G33" s="4"/>
      <c r="H33" s="4"/>
      <c r="I33" s="4"/>
      <c r="M33" s="7">
        <f t="shared" si="4"/>
        <v>30</v>
      </c>
      <c r="N33" s="3">
        <f t="shared" si="5"/>
        <v>100000</v>
      </c>
      <c r="O33" s="3"/>
      <c r="P33" s="10">
        <f t="shared" si="14"/>
        <v>100000</v>
      </c>
      <c r="Q33" s="3">
        <f t="shared" si="6"/>
        <v>100000</v>
      </c>
      <c r="S33" s="3">
        <f t="shared" si="16"/>
        <v>0</v>
      </c>
      <c r="T33" s="3">
        <f t="shared" si="18"/>
        <v>0</v>
      </c>
      <c r="U33" s="3">
        <f t="shared" si="7"/>
        <v>0</v>
      </c>
    </row>
    <row r="34" spans="5:22" x14ac:dyDescent="0.25">
      <c r="E34" s="7">
        <f t="shared" si="3"/>
        <v>31</v>
      </c>
      <c r="F34" s="4"/>
      <c r="G34" s="4"/>
      <c r="H34" s="4"/>
      <c r="I34" s="4"/>
      <c r="M34" s="7">
        <f t="shared" si="4"/>
        <v>31</v>
      </c>
      <c r="N34" s="3">
        <f t="shared" si="5"/>
        <v>100000</v>
      </c>
      <c r="O34" s="3"/>
      <c r="P34" s="10">
        <f t="shared" si="14"/>
        <v>100000</v>
      </c>
      <c r="Q34" s="3">
        <f t="shared" si="6"/>
        <v>100000</v>
      </c>
      <c r="S34" s="3">
        <f t="shared" si="16"/>
        <v>0</v>
      </c>
      <c r="T34" s="3">
        <f t="shared" si="18"/>
        <v>0</v>
      </c>
      <c r="U34" s="3">
        <f t="shared" si="7"/>
        <v>0</v>
      </c>
    </row>
    <row r="35" spans="5:22" x14ac:dyDescent="0.25">
      <c r="E35" s="7">
        <f t="shared" si="3"/>
        <v>32</v>
      </c>
      <c r="F35" s="4"/>
      <c r="G35" s="4"/>
      <c r="H35" s="4"/>
      <c r="I35" s="4"/>
      <c r="M35" s="7">
        <f t="shared" si="4"/>
        <v>32</v>
      </c>
      <c r="N35" s="3">
        <f t="shared" si="5"/>
        <v>100000</v>
      </c>
      <c r="O35" s="3"/>
      <c r="P35" s="10">
        <f t="shared" si="14"/>
        <v>100000</v>
      </c>
      <c r="Q35" s="3">
        <f t="shared" si="6"/>
        <v>100000</v>
      </c>
      <c r="S35" s="3">
        <f t="shared" si="16"/>
        <v>0</v>
      </c>
      <c r="T35" s="3">
        <f t="shared" si="18"/>
        <v>0</v>
      </c>
      <c r="U35" s="3">
        <f t="shared" si="7"/>
        <v>0</v>
      </c>
    </row>
    <row r="36" spans="5:22" x14ac:dyDescent="0.25">
      <c r="E36" s="7">
        <f t="shared" si="3"/>
        <v>33</v>
      </c>
      <c r="F36" s="4"/>
      <c r="G36" s="4"/>
      <c r="H36" s="4"/>
      <c r="I36" s="4"/>
      <c r="M36" s="7">
        <f t="shared" si="4"/>
        <v>33</v>
      </c>
      <c r="N36" s="3">
        <f t="shared" si="5"/>
        <v>100000</v>
      </c>
      <c r="O36" s="3"/>
      <c r="P36" s="10">
        <f t="shared" si="14"/>
        <v>100000</v>
      </c>
      <c r="Q36" s="3">
        <f t="shared" si="6"/>
        <v>100000</v>
      </c>
      <c r="S36" s="3">
        <f t="shared" si="16"/>
        <v>0</v>
      </c>
      <c r="T36" s="3">
        <f t="shared" si="18"/>
        <v>0</v>
      </c>
      <c r="U36" s="3">
        <f t="shared" si="7"/>
        <v>0</v>
      </c>
    </row>
    <row r="37" spans="5:22" x14ac:dyDescent="0.25">
      <c r="E37" s="7">
        <f t="shared" si="3"/>
        <v>34</v>
      </c>
      <c r="F37" s="4"/>
      <c r="G37" s="4"/>
      <c r="H37" s="4"/>
      <c r="I37" s="4"/>
      <c r="M37" s="7">
        <f t="shared" si="4"/>
        <v>34</v>
      </c>
      <c r="N37" s="3">
        <f t="shared" si="5"/>
        <v>100000</v>
      </c>
      <c r="O37" s="3"/>
      <c r="P37" s="10">
        <f t="shared" si="14"/>
        <v>100000</v>
      </c>
      <c r="Q37" s="3">
        <f t="shared" si="6"/>
        <v>100000</v>
      </c>
      <c r="S37" s="3">
        <f t="shared" si="16"/>
        <v>0</v>
      </c>
      <c r="T37" s="3">
        <f t="shared" si="18"/>
        <v>0</v>
      </c>
      <c r="U37" s="3">
        <f t="shared" si="7"/>
        <v>0</v>
      </c>
    </row>
    <row r="38" spans="5:22" x14ac:dyDescent="0.25">
      <c r="E38" s="7">
        <f t="shared" si="3"/>
        <v>35</v>
      </c>
      <c r="F38" s="4"/>
      <c r="G38" s="4"/>
      <c r="H38" s="4"/>
      <c r="I38" s="4"/>
      <c r="M38" s="7">
        <f t="shared" si="4"/>
        <v>35</v>
      </c>
      <c r="N38" s="3">
        <f t="shared" si="5"/>
        <v>100000</v>
      </c>
      <c r="O38" s="3"/>
      <c r="P38" s="10">
        <f t="shared" si="14"/>
        <v>100000</v>
      </c>
      <c r="Q38" s="3">
        <f t="shared" si="6"/>
        <v>100000</v>
      </c>
      <c r="S38" s="3">
        <f t="shared" si="16"/>
        <v>0</v>
      </c>
      <c r="T38" s="3">
        <f t="shared" si="18"/>
        <v>0</v>
      </c>
      <c r="U38" s="3">
        <f t="shared" si="7"/>
        <v>0</v>
      </c>
    </row>
    <row r="39" spans="5:22" x14ac:dyDescent="0.25">
      <c r="E39" s="7">
        <f t="shared" si="3"/>
        <v>36</v>
      </c>
      <c r="F39" s="4"/>
      <c r="G39" s="4"/>
      <c r="H39" s="4"/>
      <c r="I39" s="4"/>
      <c r="M39" s="7">
        <f t="shared" si="4"/>
        <v>36</v>
      </c>
      <c r="N39" s="3">
        <f t="shared" si="5"/>
        <v>100000</v>
      </c>
      <c r="O39" s="3"/>
      <c r="P39" s="10">
        <f t="shared" si="14"/>
        <v>100000</v>
      </c>
      <c r="Q39" s="3">
        <f t="shared" si="6"/>
        <v>100000</v>
      </c>
      <c r="S39" s="3">
        <f t="shared" si="16"/>
        <v>0</v>
      </c>
      <c r="T39" s="3">
        <f t="shared" si="17"/>
        <v>0</v>
      </c>
      <c r="U39" s="3">
        <f t="shared" si="7"/>
        <v>0</v>
      </c>
      <c r="V39" s="13">
        <f>+U39</f>
        <v>0</v>
      </c>
    </row>
    <row r="40" spans="5:22" x14ac:dyDescent="0.25">
      <c r="E40" s="7">
        <f t="shared" si="3"/>
        <v>37</v>
      </c>
      <c r="F40" s="4"/>
      <c r="G40" s="4"/>
      <c r="H40" s="4"/>
      <c r="I40" s="4"/>
      <c r="M40" s="7">
        <f t="shared" si="4"/>
        <v>37</v>
      </c>
      <c r="N40" s="3">
        <f t="shared" si="5"/>
        <v>100000</v>
      </c>
      <c r="O40" s="3"/>
      <c r="P40" s="10">
        <f t="shared" si="14"/>
        <v>100000</v>
      </c>
      <c r="Q40" s="3">
        <f t="shared" si="6"/>
        <v>100000</v>
      </c>
      <c r="S40" s="3">
        <f t="shared" si="16"/>
        <v>0</v>
      </c>
      <c r="T40" s="3">
        <f t="shared" ref="T40:T47" si="19">+S40+T39</f>
        <v>0</v>
      </c>
      <c r="U40" s="3">
        <f t="shared" si="7"/>
        <v>0</v>
      </c>
      <c r="V40" s="1" t="s">
        <v>41</v>
      </c>
    </row>
    <row r="41" spans="5:22" x14ac:dyDescent="0.25">
      <c r="E41" s="7">
        <f t="shared" si="3"/>
        <v>38</v>
      </c>
      <c r="F41" s="4"/>
      <c r="G41" s="4"/>
      <c r="H41" s="4"/>
      <c r="I41" s="4"/>
      <c r="M41" s="7">
        <f t="shared" si="4"/>
        <v>38</v>
      </c>
      <c r="N41" s="3">
        <f t="shared" si="5"/>
        <v>100000</v>
      </c>
      <c r="O41" s="3"/>
      <c r="P41" s="10">
        <f t="shared" si="14"/>
        <v>100000</v>
      </c>
      <c r="Q41" s="3">
        <f t="shared" si="6"/>
        <v>100000</v>
      </c>
      <c r="S41" s="3">
        <f t="shared" si="16"/>
        <v>0</v>
      </c>
      <c r="T41" s="3">
        <f t="shared" si="19"/>
        <v>0</v>
      </c>
      <c r="U41" s="3">
        <f t="shared" si="7"/>
        <v>0</v>
      </c>
    </row>
    <row r="42" spans="5:22" x14ac:dyDescent="0.25">
      <c r="E42" s="7">
        <f t="shared" si="3"/>
        <v>39</v>
      </c>
      <c r="F42" s="4"/>
      <c r="G42" s="4"/>
      <c r="H42" s="4"/>
      <c r="I42" s="4"/>
      <c r="M42" s="7">
        <f t="shared" si="4"/>
        <v>39</v>
      </c>
      <c r="N42" s="3">
        <f t="shared" si="5"/>
        <v>100000</v>
      </c>
      <c r="O42" s="3"/>
      <c r="P42" s="10">
        <f t="shared" si="14"/>
        <v>100000</v>
      </c>
      <c r="Q42" s="3">
        <f t="shared" si="6"/>
        <v>100000</v>
      </c>
      <c r="S42" s="3">
        <f t="shared" si="16"/>
        <v>0</v>
      </c>
      <c r="T42" s="3">
        <f t="shared" si="19"/>
        <v>0</v>
      </c>
      <c r="U42" s="3">
        <f t="shared" si="7"/>
        <v>0</v>
      </c>
    </row>
    <row r="43" spans="5:22" x14ac:dyDescent="0.25">
      <c r="E43" s="7">
        <f t="shared" si="3"/>
        <v>40</v>
      </c>
      <c r="F43" s="4"/>
      <c r="G43" s="4"/>
      <c r="H43" s="4"/>
      <c r="I43" s="4"/>
      <c r="M43" s="7">
        <f t="shared" si="4"/>
        <v>40</v>
      </c>
      <c r="N43" s="3">
        <f t="shared" si="5"/>
        <v>100000</v>
      </c>
      <c r="O43" s="3"/>
      <c r="P43" s="10">
        <f t="shared" si="14"/>
        <v>100000</v>
      </c>
      <c r="Q43" s="3">
        <f t="shared" si="6"/>
        <v>100000</v>
      </c>
      <c r="S43" s="3">
        <f t="shared" si="16"/>
        <v>0</v>
      </c>
      <c r="T43" s="3">
        <f t="shared" si="19"/>
        <v>0</v>
      </c>
      <c r="U43" s="3">
        <f t="shared" si="7"/>
        <v>0</v>
      </c>
    </row>
    <row r="44" spans="5:22" x14ac:dyDescent="0.25">
      <c r="E44" s="7">
        <f t="shared" si="3"/>
        <v>41</v>
      </c>
      <c r="F44" s="4"/>
      <c r="G44" s="4"/>
      <c r="H44" s="4"/>
      <c r="I44" s="4"/>
      <c r="M44" s="7">
        <f t="shared" si="4"/>
        <v>41</v>
      </c>
      <c r="N44" s="3">
        <f t="shared" si="5"/>
        <v>100000</v>
      </c>
      <c r="O44" s="3"/>
      <c r="P44" s="10">
        <f t="shared" si="14"/>
        <v>100000</v>
      </c>
      <c r="Q44" s="3">
        <f t="shared" si="6"/>
        <v>100000</v>
      </c>
      <c r="S44" s="3">
        <f t="shared" si="16"/>
        <v>0</v>
      </c>
      <c r="T44" s="3">
        <f t="shared" si="19"/>
        <v>0</v>
      </c>
      <c r="U44" s="3">
        <f t="shared" si="7"/>
        <v>0</v>
      </c>
    </row>
    <row r="45" spans="5:22" x14ac:dyDescent="0.25">
      <c r="E45" s="7">
        <f t="shared" si="3"/>
        <v>42</v>
      </c>
      <c r="F45" s="4"/>
      <c r="G45" s="4"/>
      <c r="H45" s="4"/>
      <c r="I45" s="4"/>
      <c r="M45" s="7">
        <f t="shared" si="4"/>
        <v>42</v>
      </c>
      <c r="N45" s="3">
        <f t="shared" si="5"/>
        <v>100000</v>
      </c>
      <c r="O45" s="3"/>
      <c r="P45" s="10">
        <f t="shared" si="14"/>
        <v>100000</v>
      </c>
      <c r="Q45" s="3">
        <f t="shared" si="6"/>
        <v>100000</v>
      </c>
      <c r="S45" s="3">
        <f t="shared" si="16"/>
        <v>0</v>
      </c>
      <c r="T45" s="3">
        <f t="shared" si="19"/>
        <v>0</v>
      </c>
      <c r="U45" s="3">
        <f t="shared" si="7"/>
        <v>0</v>
      </c>
    </row>
    <row r="46" spans="5:22" x14ac:dyDescent="0.25">
      <c r="E46" s="7">
        <f t="shared" si="3"/>
        <v>43</v>
      </c>
      <c r="F46" s="4"/>
      <c r="G46" s="4"/>
      <c r="H46" s="4"/>
      <c r="I46" s="4"/>
      <c r="M46" s="7">
        <f t="shared" si="4"/>
        <v>43</v>
      </c>
      <c r="N46" s="3">
        <f t="shared" si="5"/>
        <v>100000</v>
      </c>
      <c r="O46" s="3"/>
      <c r="P46" s="10">
        <f t="shared" si="14"/>
        <v>100000</v>
      </c>
      <c r="Q46" s="3">
        <f t="shared" si="6"/>
        <v>100000</v>
      </c>
      <c r="S46" s="3">
        <f t="shared" si="16"/>
        <v>0</v>
      </c>
      <c r="T46" s="3">
        <f t="shared" si="19"/>
        <v>0</v>
      </c>
      <c r="U46" s="3">
        <f t="shared" si="7"/>
        <v>0</v>
      </c>
    </row>
    <row r="47" spans="5:22" x14ac:dyDescent="0.25">
      <c r="E47" s="7">
        <f t="shared" si="3"/>
        <v>44</v>
      </c>
      <c r="F47" s="4"/>
      <c r="G47" s="4"/>
      <c r="H47" s="4"/>
      <c r="I47" s="4"/>
      <c r="M47" s="7">
        <f t="shared" si="4"/>
        <v>44</v>
      </c>
      <c r="N47" s="3">
        <f t="shared" si="5"/>
        <v>100000</v>
      </c>
      <c r="O47" s="3"/>
      <c r="P47" s="10">
        <f t="shared" si="14"/>
        <v>100000</v>
      </c>
      <c r="Q47" s="3">
        <f t="shared" si="6"/>
        <v>100000</v>
      </c>
      <c r="S47" s="3">
        <f t="shared" si="16"/>
        <v>0</v>
      </c>
      <c r="T47" s="3">
        <f t="shared" si="19"/>
        <v>0</v>
      </c>
      <c r="U47" s="3">
        <f t="shared" si="7"/>
        <v>0</v>
      </c>
    </row>
    <row r="48" spans="5:22" x14ac:dyDescent="0.25">
      <c r="E48" s="7">
        <f t="shared" si="3"/>
        <v>45</v>
      </c>
      <c r="F48" s="4"/>
      <c r="G48" s="4"/>
      <c r="H48" s="4"/>
      <c r="I48" s="4"/>
      <c r="M48" s="7">
        <f t="shared" si="4"/>
        <v>45</v>
      </c>
      <c r="N48" s="3">
        <f t="shared" si="5"/>
        <v>100000</v>
      </c>
      <c r="O48" s="3"/>
      <c r="P48" s="10">
        <f t="shared" si="14"/>
        <v>100000</v>
      </c>
      <c r="Q48" s="3">
        <f t="shared" si="6"/>
        <v>100000</v>
      </c>
      <c r="S48" s="3">
        <f t="shared" si="16"/>
        <v>0</v>
      </c>
      <c r="T48" s="3">
        <f t="shared" si="17"/>
        <v>0</v>
      </c>
      <c r="U48" s="3">
        <f t="shared" si="7"/>
        <v>0</v>
      </c>
    </row>
    <row r="49" spans="5:22" x14ac:dyDescent="0.25">
      <c r="E49" s="7">
        <f t="shared" si="3"/>
        <v>46</v>
      </c>
      <c r="F49" s="4"/>
      <c r="G49" s="4"/>
      <c r="H49" s="4"/>
      <c r="I49" s="4"/>
      <c r="M49" s="7">
        <f t="shared" si="4"/>
        <v>46</v>
      </c>
      <c r="N49" s="3">
        <f t="shared" si="5"/>
        <v>100000</v>
      </c>
      <c r="O49" s="3"/>
      <c r="P49" s="10">
        <f t="shared" si="14"/>
        <v>100000</v>
      </c>
      <c r="Q49" s="3">
        <f t="shared" si="6"/>
        <v>100000</v>
      </c>
      <c r="S49" s="3">
        <f t="shared" si="16"/>
        <v>0</v>
      </c>
      <c r="T49" s="3">
        <f t="shared" ref="T49:T58" si="20">+S49+T48</f>
        <v>0</v>
      </c>
      <c r="U49" s="3">
        <f t="shared" si="7"/>
        <v>0</v>
      </c>
    </row>
    <row r="50" spans="5:22" x14ac:dyDescent="0.25">
      <c r="E50" s="7">
        <f t="shared" si="3"/>
        <v>47</v>
      </c>
      <c r="F50" s="4"/>
      <c r="G50" s="4"/>
      <c r="H50" s="4"/>
      <c r="I50" s="4"/>
      <c r="M50" s="7">
        <f t="shared" si="4"/>
        <v>47</v>
      </c>
      <c r="N50" s="3">
        <f t="shared" si="5"/>
        <v>100000</v>
      </c>
      <c r="O50" s="3"/>
      <c r="P50" s="10">
        <f t="shared" si="14"/>
        <v>100000</v>
      </c>
      <c r="Q50" s="3">
        <f t="shared" si="6"/>
        <v>100000</v>
      </c>
      <c r="S50" s="3">
        <f t="shared" si="16"/>
        <v>0</v>
      </c>
      <c r="T50" s="3">
        <f t="shared" si="20"/>
        <v>0</v>
      </c>
      <c r="U50" s="3">
        <f t="shared" si="7"/>
        <v>0</v>
      </c>
    </row>
    <row r="51" spans="5:22" x14ac:dyDescent="0.25">
      <c r="E51" s="7">
        <f t="shared" si="3"/>
        <v>48</v>
      </c>
      <c r="F51" s="4"/>
      <c r="G51" s="4"/>
      <c r="H51" s="4"/>
      <c r="I51" s="4"/>
      <c r="M51" s="7">
        <f t="shared" si="4"/>
        <v>48</v>
      </c>
      <c r="N51" s="3">
        <f t="shared" si="5"/>
        <v>100000</v>
      </c>
      <c r="O51" s="3"/>
      <c r="P51" s="10">
        <f t="shared" si="14"/>
        <v>100000</v>
      </c>
      <c r="Q51" s="3">
        <f t="shared" si="6"/>
        <v>100000</v>
      </c>
      <c r="S51" s="3">
        <f t="shared" si="16"/>
        <v>0</v>
      </c>
      <c r="T51" s="3">
        <f t="shared" si="20"/>
        <v>0</v>
      </c>
      <c r="U51" s="3">
        <f t="shared" si="7"/>
        <v>0</v>
      </c>
      <c r="V51" s="13">
        <f>+U51</f>
        <v>0</v>
      </c>
    </row>
    <row r="52" spans="5:22" x14ac:dyDescent="0.25">
      <c r="E52" s="7">
        <f t="shared" si="3"/>
        <v>49</v>
      </c>
      <c r="F52" s="4"/>
      <c r="G52" s="4"/>
      <c r="H52" s="4"/>
      <c r="I52" s="4"/>
      <c r="M52" s="7">
        <f t="shared" si="4"/>
        <v>49</v>
      </c>
      <c r="N52" s="3">
        <f t="shared" si="5"/>
        <v>100000</v>
      </c>
      <c r="O52" s="3"/>
      <c r="P52" s="10">
        <f t="shared" si="14"/>
        <v>100000</v>
      </c>
      <c r="Q52" s="3">
        <f t="shared" si="6"/>
        <v>100000</v>
      </c>
      <c r="S52" s="3">
        <f t="shared" si="16"/>
        <v>0</v>
      </c>
      <c r="T52" s="3">
        <f t="shared" si="20"/>
        <v>0</v>
      </c>
      <c r="U52" s="3">
        <f t="shared" si="7"/>
        <v>0</v>
      </c>
    </row>
    <row r="53" spans="5:22" x14ac:dyDescent="0.25">
      <c r="E53" s="7">
        <f t="shared" si="3"/>
        <v>50</v>
      </c>
      <c r="F53" s="4"/>
      <c r="G53" s="4"/>
      <c r="H53" s="4"/>
      <c r="I53" s="4"/>
      <c r="M53" s="7">
        <f t="shared" si="4"/>
        <v>50</v>
      </c>
      <c r="N53" s="3">
        <f t="shared" si="5"/>
        <v>100000</v>
      </c>
      <c r="O53" s="3"/>
      <c r="P53" s="10">
        <f t="shared" si="14"/>
        <v>100000</v>
      </c>
      <c r="Q53" s="3">
        <f t="shared" si="6"/>
        <v>100000</v>
      </c>
      <c r="S53" s="3">
        <f t="shared" si="16"/>
        <v>0</v>
      </c>
      <c r="T53" s="3">
        <f t="shared" si="20"/>
        <v>0</v>
      </c>
      <c r="U53" s="3">
        <f t="shared" si="7"/>
        <v>0</v>
      </c>
    </row>
    <row r="54" spans="5:22" x14ac:dyDescent="0.25">
      <c r="E54" s="7">
        <f t="shared" si="3"/>
        <v>51</v>
      </c>
      <c r="F54" s="4"/>
      <c r="G54" s="4"/>
      <c r="H54" s="4"/>
      <c r="I54" s="4"/>
      <c r="M54" s="7">
        <f t="shared" si="4"/>
        <v>51</v>
      </c>
      <c r="N54" s="3">
        <f t="shared" si="5"/>
        <v>100000</v>
      </c>
      <c r="O54" s="3"/>
      <c r="P54" s="10">
        <f t="shared" si="14"/>
        <v>100000</v>
      </c>
      <c r="Q54" s="3">
        <f t="shared" si="6"/>
        <v>100000</v>
      </c>
      <c r="S54" s="3">
        <f t="shared" si="16"/>
        <v>0</v>
      </c>
      <c r="T54" s="3">
        <f t="shared" si="20"/>
        <v>0</v>
      </c>
      <c r="U54" s="3">
        <f t="shared" si="7"/>
        <v>0</v>
      </c>
    </row>
    <row r="55" spans="5:22" x14ac:dyDescent="0.25">
      <c r="E55" s="7">
        <f t="shared" si="3"/>
        <v>52</v>
      </c>
      <c r="F55" s="4"/>
      <c r="G55" s="4"/>
      <c r="H55" s="4"/>
      <c r="I55" s="4"/>
      <c r="M55" s="7">
        <f t="shared" si="4"/>
        <v>52</v>
      </c>
      <c r="N55" s="3">
        <f t="shared" si="5"/>
        <v>100000</v>
      </c>
      <c r="O55" s="3"/>
      <c r="P55" s="10">
        <f t="shared" si="14"/>
        <v>100000</v>
      </c>
      <c r="Q55" s="3">
        <f t="shared" si="6"/>
        <v>100000</v>
      </c>
      <c r="S55" s="3">
        <f t="shared" si="16"/>
        <v>0</v>
      </c>
      <c r="T55" s="3">
        <f t="shared" si="20"/>
        <v>0</v>
      </c>
      <c r="U55" s="3">
        <f t="shared" si="7"/>
        <v>0</v>
      </c>
    </row>
    <row r="56" spans="5:22" x14ac:dyDescent="0.25">
      <c r="E56" s="7">
        <f t="shared" si="3"/>
        <v>53</v>
      </c>
      <c r="F56" s="4"/>
      <c r="G56" s="4"/>
      <c r="H56" s="4"/>
      <c r="I56" s="4"/>
      <c r="M56" s="7">
        <f t="shared" si="4"/>
        <v>53</v>
      </c>
      <c r="N56" s="3">
        <f t="shared" si="5"/>
        <v>100000</v>
      </c>
      <c r="O56" s="3"/>
      <c r="P56" s="10">
        <f t="shared" si="14"/>
        <v>100000</v>
      </c>
      <c r="Q56" s="3">
        <f t="shared" si="6"/>
        <v>100000</v>
      </c>
      <c r="S56" s="3">
        <f t="shared" si="16"/>
        <v>0</v>
      </c>
      <c r="T56" s="3">
        <f t="shared" si="20"/>
        <v>0</v>
      </c>
      <c r="U56" s="3">
        <f t="shared" si="7"/>
        <v>0</v>
      </c>
    </row>
    <row r="57" spans="5:22" x14ac:dyDescent="0.25">
      <c r="E57" s="7">
        <f t="shared" si="3"/>
        <v>54</v>
      </c>
      <c r="F57" s="4"/>
      <c r="G57" s="4"/>
      <c r="H57" s="4"/>
      <c r="I57" s="4"/>
      <c r="M57" s="7">
        <f t="shared" si="4"/>
        <v>54</v>
      </c>
      <c r="N57" s="3">
        <f t="shared" si="5"/>
        <v>100000</v>
      </c>
      <c r="O57" s="3"/>
      <c r="P57" s="10">
        <f t="shared" si="14"/>
        <v>100000</v>
      </c>
      <c r="Q57" s="3">
        <f t="shared" si="6"/>
        <v>100000</v>
      </c>
      <c r="S57" s="3">
        <f t="shared" si="16"/>
        <v>0</v>
      </c>
      <c r="T57" s="3">
        <f t="shared" si="20"/>
        <v>0</v>
      </c>
      <c r="U57" s="3">
        <f t="shared" si="7"/>
        <v>0</v>
      </c>
    </row>
    <row r="58" spans="5:22" x14ac:dyDescent="0.25">
      <c r="E58" s="7">
        <f t="shared" si="3"/>
        <v>55</v>
      </c>
      <c r="F58" s="4"/>
      <c r="G58" s="4"/>
      <c r="H58" s="4"/>
      <c r="I58" s="4"/>
      <c r="M58" s="7">
        <f t="shared" si="4"/>
        <v>55</v>
      </c>
      <c r="N58" s="3">
        <f t="shared" si="5"/>
        <v>100000</v>
      </c>
      <c r="O58" s="3"/>
      <c r="P58" s="10">
        <f t="shared" si="14"/>
        <v>100000</v>
      </c>
      <c r="Q58" s="3">
        <f t="shared" si="6"/>
        <v>100000</v>
      </c>
      <c r="S58" s="3">
        <f t="shared" si="16"/>
        <v>0</v>
      </c>
      <c r="T58" s="3">
        <f t="shared" si="20"/>
        <v>0</v>
      </c>
      <c r="U58" s="3">
        <f t="shared" si="7"/>
        <v>0</v>
      </c>
    </row>
    <row r="59" spans="5:22" x14ac:dyDescent="0.25">
      <c r="E59" s="7">
        <f t="shared" si="3"/>
        <v>56</v>
      </c>
      <c r="F59" s="4"/>
      <c r="G59" s="4"/>
      <c r="H59" s="4"/>
      <c r="I59" s="4"/>
      <c r="M59" s="7">
        <f t="shared" si="4"/>
        <v>56</v>
      </c>
      <c r="N59" s="3">
        <f t="shared" si="5"/>
        <v>100000</v>
      </c>
      <c r="O59" s="3"/>
      <c r="P59" s="10">
        <f t="shared" si="14"/>
        <v>100000</v>
      </c>
      <c r="Q59" s="3">
        <f t="shared" si="6"/>
        <v>100000</v>
      </c>
      <c r="S59" s="3">
        <f t="shared" si="16"/>
        <v>0</v>
      </c>
      <c r="T59" s="3">
        <f t="shared" si="17"/>
        <v>0</v>
      </c>
      <c r="U59" s="3">
        <f t="shared" si="7"/>
        <v>0</v>
      </c>
    </row>
    <row r="60" spans="5:22" x14ac:dyDescent="0.25">
      <c r="E60" s="7">
        <f t="shared" si="3"/>
        <v>57</v>
      </c>
      <c r="F60" s="4"/>
      <c r="G60" s="4"/>
      <c r="H60" s="4"/>
      <c r="I60" s="4"/>
      <c r="M60" s="7">
        <f t="shared" si="4"/>
        <v>57</v>
      </c>
      <c r="N60" s="3">
        <f t="shared" si="5"/>
        <v>100000</v>
      </c>
      <c r="O60" s="3"/>
      <c r="P60" s="10">
        <f t="shared" si="14"/>
        <v>100000</v>
      </c>
      <c r="Q60" s="3">
        <f t="shared" si="6"/>
        <v>100000</v>
      </c>
      <c r="S60" s="3">
        <f t="shared" si="16"/>
        <v>0</v>
      </c>
      <c r="T60" s="3">
        <f>+S60+T59</f>
        <v>0</v>
      </c>
      <c r="U60" s="3">
        <f t="shared" si="7"/>
        <v>0</v>
      </c>
    </row>
    <row r="61" spans="5:22" x14ac:dyDescent="0.25">
      <c r="E61" s="7">
        <f t="shared" si="3"/>
        <v>58</v>
      </c>
      <c r="F61" s="4"/>
      <c r="G61" s="4"/>
      <c r="H61" s="4"/>
      <c r="I61" s="4"/>
      <c r="M61" s="7">
        <f t="shared" si="4"/>
        <v>58</v>
      </c>
      <c r="N61" s="3">
        <f t="shared" si="5"/>
        <v>100000</v>
      </c>
      <c r="O61" s="3"/>
      <c r="P61" s="10">
        <f t="shared" si="14"/>
        <v>100000</v>
      </c>
      <c r="Q61" s="3">
        <f t="shared" si="6"/>
        <v>100000</v>
      </c>
      <c r="S61" s="3">
        <f t="shared" si="16"/>
        <v>0</v>
      </c>
      <c r="T61" s="3">
        <f>+S61+T60</f>
        <v>0</v>
      </c>
      <c r="U61" s="3">
        <f t="shared" si="7"/>
        <v>0</v>
      </c>
    </row>
    <row r="62" spans="5:22" x14ac:dyDescent="0.25">
      <c r="E62" s="7">
        <f t="shared" si="3"/>
        <v>59</v>
      </c>
      <c r="F62" s="4"/>
      <c r="G62" s="4"/>
      <c r="H62" s="4"/>
      <c r="I62" s="4"/>
      <c r="M62" s="7">
        <f t="shared" si="4"/>
        <v>59</v>
      </c>
      <c r="N62" s="3">
        <f t="shared" si="5"/>
        <v>100000</v>
      </c>
      <c r="O62" s="3"/>
      <c r="P62" s="10">
        <f t="shared" si="14"/>
        <v>100000</v>
      </c>
      <c r="Q62" s="3">
        <f t="shared" si="6"/>
        <v>100000</v>
      </c>
      <c r="S62" s="3">
        <f t="shared" si="16"/>
        <v>0</v>
      </c>
      <c r="T62" s="3">
        <f>+S62+T61</f>
        <v>0</v>
      </c>
      <c r="U62" s="3">
        <f t="shared" si="7"/>
        <v>0</v>
      </c>
    </row>
    <row r="63" spans="5:22" x14ac:dyDescent="0.25">
      <c r="E63" s="7">
        <f t="shared" si="3"/>
        <v>60</v>
      </c>
      <c r="F63" s="38"/>
      <c r="G63" s="38"/>
      <c r="H63" s="36"/>
      <c r="I63" s="36"/>
      <c r="M63" s="7">
        <f t="shared" si="4"/>
        <v>60</v>
      </c>
      <c r="N63" s="3">
        <f t="shared" si="5"/>
        <v>100000</v>
      </c>
      <c r="O63" s="3"/>
      <c r="P63" s="10">
        <f t="shared" si="14"/>
        <v>100000</v>
      </c>
      <c r="Q63" s="3">
        <f t="shared" si="6"/>
        <v>100000</v>
      </c>
      <c r="S63" s="3">
        <f t="shared" si="16"/>
        <v>0</v>
      </c>
      <c r="T63" s="6">
        <f>+S63+T62</f>
        <v>0</v>
      </c>
      <c r="U63" s="3">
        <f t="shared" si="7"/>
        <v>0</v>
      </c>
      <c r="V63" s="13">
        <f>+U63</f>
        <v>0</v>
      </c>
    </row>
    <row r="64" spans="5:22" x14ac:dyDescent="0.25">
      <c r="N64" s="6">
        <f>SUM(N4:N63)</f>
        <v>6000000</v>
      </c>
      <c r="O64" s="6">
        <f>SUM(O4:O63)</f>
        <v>0</v>
      </c>
      <c r="P64" s="6">
        <f>SUM(P4:P63)</f>
        <v>6000000</v>
      </c>
      <c r="Q64" s="6">
        <f>SUM(Q4:Q63)</f>
        <v>6000000</v>
      </c>
      <c r="S64" s="6">
        <f>SUM(S4:S63)</f>
        <v>0</v>
      </c>
    </row>
    <row r="65" spans="15:17" x14ac:dyDescent="0.25">
      <c r="O65" s="3"/>
      <c r="Q65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33787-9289-4A92-AC7A-35C519D6AD30}">
  <dimension ref="A1:AM67"/>
  <sheetViews>
    <sheetView topLeftCell="X1" zoomScale="145" zoomScaleNormal="145" workbookViewId="0">
      <selection activeCell="AB16" sqref="AB16"/>
    </sheetView>
  </sheetViews>
  <sheetFormatPr baseColWidth="10" defaultRowHeight="15.75" x14ac:dyDescent="0.25"/>
  <cols>
    <col min="1" max="1" width="18.7109375" style="1" customWidth="1"/>
    <col min="2" max="2" width="11.42578125" style="1"/>
    <col min="3" max="3" width="7" style="1" bestFit="1" customWidth="1"/>
    <col min="4" max="4" width="2.7109375" style="1" customWidth="1"/>
    <col min="5" max="5" width="3.42578125" style="1" bestFit="1" customWidth="1"/>
    <col min="6" max="6" width="11" style="1" bestFit="1" customWidth="1"/>
    <col min="7" max="7" width="4.5703125" style="1" customWidth="1"/>
    <col min="8" max="8" width="3.42578125" style="1" bestFit="1" customWidth="1"/>
    <col min="9" max="9" width="11.42578125" style="1"/>
    <col min="10" max="10" width="13.28515625" style="1" bestFit="1" customWidth="1"/>
    <col min="11" max="11" width="3.140625" style="1" customWidth="1"/>
    <col min="12" max="14" width="8.7109375" style="1" customWidth="1"/>
    <col min="15" max="16" width="10.42578125" style="1" bestFit="1" customWidth="1"/>
    <col min="17" max="18" width="8.7109375" style="1" customWidth="1"/>
    <col min="19" max="19" width="3.140625" style="1" customWidth="1"/>
    <col min="20" max="20" width="14" style="1" customWidth="1"/>
    <col min="21" max="21" width="14.28515625" style="1" customWidth="1"/>
    <col min="22" max="22" width="16.28515625" style="1" customWidth="1"/>
    <col min="23" max="23" width="11.42578125" style="5" customWidth="1"/>
    <col min="24" max="24" width="3.5703125" style="1" customWidth="1"/>
    <col min="25" max="25" width="2.140625" style="1" customWidth="1"/>
    <col min="26" max="26" width="20.5703125" style="1" customWidth="1"/>
    <col min="27" max="31" width="13.140625" style="1" bestFit="1" customWidth="1"/>
    <col min="32" max="32" width="2.5703125" style="1" customWidth="1"/>
    <col min="33" max="33" width="0" style="1" hidden="1" customWidth="1"/>
    <col min="34" max="34" width="6.28515625" style="1" hidden="1" customWidth="1"/>
    <col min="35" max="35" width="20.85546875" style="1" bestFit="1" customWidth="1"/>
    <col min="36" max="36" width="8.5703125" style="1" bestFit="1" customWidth="1"/>
    <col min="37" max="37" width="3.42578125" style="1" bestFit="1" customWidth="1"/>
    <col min="38" max="39" width="8.5703125" style="1" bestFit="1" customWidth="1"/>
    <col min="40" max="16384" width="11.42578125" style="1"/>
  </cols>
  <sheetData>
    <row r="1" spans="1:39" s="2" customFormat="1" ht="23.25" x14ac:dyDescent="0.35">
      <c r="A1" s="2" t="s">
        <v>70</v>
      </c>
      <c r="J1" s="43" t="s">
        <v>73</v>
      </c>
      <c r="W1" s="14"/>
    </row>
    <row r="2" spans="1:39" ht="16.5" thickBot="1" x14ac:dyDescent="0.3">
      <c r="A2" s="1" t="s">
        <v>0</v>
      </c>
      <c r="E2" s="8"/>
      <c r="F2" s="126" t="s">
        <v>87</v>
      </c>
      <c r="H2" s="41" t="s">
        <v>71</v>
      </c>
      <c r="I2" s="42"/>
      <c r="J2" s="43" t="s">
        <v>74</v>
      </c>
      <c r="T2" s="9" t="s">
        <v>31</v>
      </c>
      <c r="U2" s="9" t="s">
        <v>31</v>
      </c>
      <c r="V2" s="9"/>
      <c r="W2" s="67">
        <v>0.3</v>
      </c>
    </row>
    <row r="3" spans="1:39" ht="16.5" thickBot="1" x14ac:dyDescent="0.3">
      <c r="E3" s="7"/>
      <c r="F3" s="126" t="s">
        <v>88</v>
      </c>
      <c r="H3" s="7"/>
      <c r="I3" s="9" t="s">
        <v>72</v>
      </c>
      <c r="J3" s="9" t="s">
        <v>89</v>
      </c>
      <c r="L3" s="11" t="s">
        <v>42</v>
      </c>
      <c r="O3" s="111" t="s">
        <v>12</v>
      </c>
      <c r="P3" s="111" t="s">
        <v>13</v>
      </c>
      <c r="T3" s="9" t="s">
        <v>32</v>
      </c>
      <c r="U3" s="9" t="s">
        <v>33</v>
      </c>
      <c r="V3" s="9" t="s">
        <v>35</v>
      </c>
      <c r="Z3" s="15"/>
      <c r="AA3" s="16" t="s">
        <v>42</v>
      </c>
      <c r="AB3" s="16" t="s">
        <v>43</v>
      </c>
      <c r="AC3" s="16" t="s">
        <v>44</v>
      </c>
      <c r="AD3" s="16" t="s">
        <v>45</v>
      </c>
      <c r="AE3" s="17" t="s">
        <v>46</v>
      </c>
      <c r="AG3" s="136">
        <f>+AA10*0.3</f>
        <v>240000</v>
      </c>
    </row>
    <row r="4" spans="1:39" x14ac:dyDescent="0.25">
      <c r="A4" s="35" t="s">
        <v>1</v>
      </c>
      <c r="B4" s="36">
        <v>100000</v>
      </c>
      <c r="C4" s="35" t="s">
        <v>64</v>
      </c>
      <c r="E4" s="7">
        <v>1</v>
      </c>
      <c r="F4" s="127">
        <v>100000</v>
      </c>
      <c r="H4" s="7">
        <v>1</v>
      </c>
      <c r="I4" s="10">
        <f>SUM(F4:F65)/60</f>
        <v>122102</v>
      </c>
      <c r="J4" s="10">
        <f>+F4</f>
        <v>100000</v>
      </c>
      <c r="L4" s="1" t="s">
        <v>91</v>
      </c>
      <c r="O4" s="3">
        <f>SUM(J4:J15)</f>
        <v>1200000</v>
      </c>
      <c r="T4" s="3">
        <f>+I4-J4</f>
        <v>22102</v>
      </c>
      <c r="U4" s="3">
        <f>+T4</f>
        <v>22102</v>
      </c>
      <c r="V4" s="3">
        <f t="shared" ref="V4:V15" si="0">+U4*$W$2</f>
        <v>6630.5999999999995</v>
      </c>
      <c r="Z4" s="18" t="s">
        <v>47</v>
      </c>
      <c r="AA4" s="122"/>
      <c r="AB4" s="122"/>
      <c r="AC4" s="122"/>
      <c r="AD4" s="122"/>
      <c r="AE4" s="19"/>
    </row>
    <row r="5" spans="1:39" x14ac:dyDescent="0.25">
      <c r="A5" s="35" t="s">
        <v>2</v>
      </c>
      <c r="B5" s="35">
        <v>60</v>
      </c>
      <c r="C5" s="35" t="s">
        <v>3</v>
      </c>
      <c r="E5" s="7">
        <f>+E4+1</f>
        <v>2</v>
      </c>
      <c r="F5" s="127">
        <v>100000</v>
      </c>
      <c r="H5" s="7">
        <f>+H4+1</f>
        <v>2</v>
      </c>
      <c r="I5" s="10">
        <f>+I4</f>
        <v>122102</v>
      </c>
      <c r="J5" s="10">
        <f>+F5</f>
        <v>100000</v>
      </c>
      <c r="L5" s="137" t="s">
        <v>93</v>
      </c>
      <c r="M5" s="137"/>
      <c r="N5" s="137"/>
      <c r="O5" s="138">
        <f>+P6-O4</f>
        <v>265224</v>
      </c>
      <c r="P5" s="137"/>
      <c r="T5" s="3">
        <f>+I5-J5</f>
        <v>22102</v>
      </c>
      <c r="U5" s="3">
        <f>+T5+U4</f>
        <v>44204</v>
      </c>
      <c r="V5" s="3">
        <f t="shared" si="0"/>
        <v>13261.199999999999</v>
      </c>
      <c r="Z5" s="18" t="s">
        <v>48</v>
      </c>
      <c r="AA5" s="122"/>
      <c r="AB5" s="122"/>
      <c r="AC5" s="122"/>
      <c r="AD5" s="122"/>
      <c r="AE5" s="19"/>
    </row>
    <row r="6" spans="1:39" x14ac:dyDescent="0.25">
      <c r="A6" s="35" t="s">
        <v>75</v>
      </c>
      <c r="B6" s="35"/>
      <c r="C6" s="35"/>
      <c r="E6" s="7">
        <f t="shared" ref="E6:E65" si="1">+E5+1</f>
        <v>3</v>
      </c>
      <c r="F6" s="127">
        <v>100000</v>
      </c>
      <c r="H6" s="7">
        <f t="shared" ref="H6:H65" si="2">+H5+1</f>
        <v>3</v>
      </c>
      <c r="I6" s="10">
        <f t="shared" ref="I6:I65" si="3">+I5</f>
        <v>122102</v>
      </c>
      <c r="J6" s="10">
        <f>+F6</f>
        <v>100000</v>
      </c>
      <c r="L6" s="1" t="s">
        <v>92</v>
      </c>
      <c r="P6" s="3">
        <f>SUM(I4:I15)</f>
        <v>1465224</v>
      </c>
      <c r="T6" s="3">
        <f>+I6-J6</f>
        <v>22102</v>
      </c>
      <c r="U6" s="3">
        <f>+T6+U5</f>
        <v>66306</v>
      </c>
      <c r="V6" s="3">
        <f t="shared" si="0"/>
        <v>19891.8</v>
      </c>
      <c r="Z6" s="18" t="s">
        <v>49</v>
      </c>
      <c r="AA6" s="122"/>
      <c r="AB6" s="122"/>
      <c r="AC6" s="122"/>
      <c r="AD6" s="122"/>
      <c r="AE6" s="19"/>
    </row>
    <row r="7" spans="1:39" ht="16.5" thickBot="1" x14ac:dyDescent="0.3">
      <c r="E7" s="7">
        <f t="shared" si="1"/>
        <v>4</v>
      </c>
      <c r="F7" s="127">
        <v>100000</v>
      </c>
      <c r="H7" s="7">
        <f t="shared" si="2"/>
        <v>4</v>
      </c>
      <c r="I7" s="10">
        <f t="shared" si="3"/>
        <v>122102</v>
      </c>
      <c r="J7" s="10">
        <f>+F7</f>
        <v>100000</v>
      </c>
      <c r="L7" s="11" t="s">
        <v>43</v>
      </c>
      <c r="O7" s="111" t="s">
        <v>12</v>
      </c>
      <c r="P7" s="111" t="s">
        <v>13</v>
      </c>
      <c r="T7" s="3">
        <f>+I7-J7</f>
        <v>22102</v>
      </c>
      <c r="U7" s="3">
        <f>+T7+U6</f>
        <v>88408</v>
      </c>
      <c r="V7" s="3">
        <f t="shared" si="0"/>
        <v>26522.399999999998</v>
      </c>
      <c r="Z7" s="18" t="s">
        <v>49</v>
      </c>
      <c r="AA7" s="122"/>
      <c r="AB7" s="122"/>
      <c r="AC7" s="122"/>
      <c r="AD7" s="122"/>
      <c r="AE7" s="19"/>
    </row>
    <row r="8" spans="1:39" x14ac:dyDescent="0.25">
      <c r="E8" s="7">
        <f t="shared" si="1"/>
        <v>5</v>
      </c>
      <c r="F8" s="127">
        <v>100000</v>
      </c>
      <c r="H8" s="7">
        <f t="shared" si="2"/>
        <v>5</v>
      </c>
      <c r="I8" s="10">
        <f t="shared" si="3"/>
        <v>122102</v>
      </c>
      <c r="J8" s="10">
        <f>+F8</f>
        <v>100000</v>
      </c>
      <c r="L8" s="1" t="s">
        <v>91</v>
      </c>
      <c r="O8" s="3">
        <f>SUM(J16:J29)</f>
        <v>1320000.0000000002</v>
      </c>
      <c r="T8" s="3">
        <f>+I8-J8</f>
        <v>22102</v>
      </c>
      <c r="U8" s="3">
        <f>+T8+U7</f>
        <v>110510</v>
      </c>
      <c r="V8" s="3">
        <f t="shared" si="0"/>
        <v>33153</v>
      </c>
      <c r="Z8" s="18" t="s">
        <v>49</v>
      </c>
      <c r="AA8" s="122"/>
      <c r="AB8" s="122"/>
      <c r="AC8" s="122"/>
      <c r="AD8" s="122"/>
      <c r="AE8" s="19"/>
      <c r="AI8" s="141" t="s">
        <v>93</v>
      </c>
      <c r="AJ8" s="142" t="s">
        <v>94</v>
      </c>
      <c r="AK8" s="142" t="s">
        <v>95</v>
      </c>
      <c r="AL8" s="142" t="s">
        <v>96</v>
      </c>
      <c r="AM8" s="143" t="s">
        <v>97</v>
      </c>
    </row>
    <row r="9" spans="1:39" x14ac:dyDescent="0.25">
      <c r="E9" s="7">
        <f t="shared" si="1"/>
        <v>6</v>
      </c>
      <c r="F9" s="127">
        <v>100000</v>
      </c>
      <c r="H9" s="7">
        <f t="shared" si="2"/>
        <v>6</v>
      </c>
      <c r="I9" s="10">
        <f t="shared" si="3"/>
        <v>122102</v>
      </c>
      <c r="J9" s="10">
        <f>+F9</f>
        <v>100000</v>
      </c>
      <c r="L9" s="137" t="s">
        <v>93</v>
      </c>
      <c r="M9" s="137"/>
      <c r="N9" s="137"/>
      <c r="O9" s="138">
        <f>+P10-O8</f>
        <v>145223.99999999977</v>
      </c>
      <c r="P9" s="137"/>
      <c r="T9" s="3">
        <f>+I9-J9</f>
        <v>22102</v>
      </c>
      <c r="U9" s="3">
        <f>+T9+U8</f>
        <v>132612</v>
      </c>
      <c r="V9" s="3">
        <f t="shared" si="0"/>
        <v>39783.599999999999</v>
      </c>
      <c r="Z9" s="18" t="s">
        <v>49</v>
      </c>
      <c r="AA9" s="122"/>
      <c r="AB9" s="122"/>
      <c r="AC9" s="122"/>
      <c r="AD9" s="122"/>
      <c r="AE9" s="19"/>
      <c r="AI9" s="18" t="s">
        <v>42</v>
      </c>
      <c r="AJ9" s="117">
        <f>+O5</f>
        <v>265224</v>
      </c>
      <c r="AK9" s="117">
        <v>0</v>
      </c>
      <c r="AL9" s="117">
        <f>+AJ9-AK9</f>
        <v>265224</v>
      </c>
      <c r="AM9" s="144">
        <f>+AL9*30%</f>
        <v>79567.199999999997</v>
      </c>
    </row>
    <row r="10" spans="1:39" x14ac:dyDescent="0.25">
      <c r="E10" s="7">
        <f t="shared" si="1"/>
        <v>7</v>
      </c>
      <c r="F10" s="127">
        <v>100000</v>
      </c>
      <c r="H10" s="7">
        <f t="shared" si="2"/>
        <v>7</v>
      </c>
      <c r="I10" s="10">
        <f t="shared" si="3"/>
        <v>122102</v>
      </c>
      <c r="J10" s="10">
        <f>+F10</f>
        <v>100000</v>
      </c>
      <c r="L10" s="1" t="s">
        <v>92</v>
      </c>
      <c r="P10" s="3">
        <f>SUM(I16:I29)</f>
        <v>1465224</v>
      </c>
      <c r="T10" s="3">
        <f>+I10-J10</f>
        <v>22102</v>
      </c>
      <c r="U10" s="3">
        <f>+T10+U9</f>
        <v>154714</v>
      </c>
      <c r="V10" s="3">
        <f t="shared" si="0"/>
        <v>46414.2</v>
      </c>
      <c r="Z10" s="26" t="s">
        <v>50</v>
      </c>
      <c r="AA10" s="123">
        <v>800000</v>
      </c>
      <c r="AB10" s="123">
        <v>800000</v>
      </c>
      <c r="AC10" s="123">
        <v>800000</v>
      </c>
      <c r="AD10" s="123">
        <v>800000</v>
      </c>
      <c r="AE10" s="31">
        <v>800000</v>
      </c>
      <c r="AI10" s="18" t="s">
        <v>43</v>
      </c>
      <c r="AJ10" s="117">
        <f>+AJ9+O9</f>
        <v>410447.99999999977</v>
      </c>
      <c r="AK10" s="117">
        <v>0</v>
      </c>
      <c r="AL10" s="117">
        <f t="shared" ref="AL10:AL13" si="4">+AJ10-AK10</f>
        <v>410447.99999999977</v>
      </c>
      <c r="AM10" s="144">
        <f>+AL10*30%</f>
        <v>123134.39999999992</v>
      </c>
    </row>
    <row r="11" spans="1:39" ht="16.5" thickBot="1" x14ac:dyDescent="0.3">
      <c r="E11" s="7">
        <f t="shared" si="1"/>
        <v>8</v>
      </c>
      <c r="F11" s="127">
        <v>100000</v>
      </c>
      <c r="H11" s="7">
        <f t="shared" si="2"/>
        <v>8</v>
      </c>
      <c r="I11" s="10">
        <f t="shared" si="3"/>
        <v>122102</v>
      </c>
      <c r="J11" s="10">
        <f>+F11</f>
        <v>100000</v>
      </c>
      <c r="L11" s="11" t="s">
        <v>44</v>
      </c>
      <c r="O11" s="111" t="s">
        <v>12</v>
      </c>
      <c r="P11" s="111" t="s">
        <v>13</v>
      </c>
      <c r="T11" s="3">
        <f>+I11-J11</f>
        <v>22102</v>
      </c>
      <c r="U11" s="3">
        <f>+T11+U10</f>
        <v>176816</v>
      </c>
      <c r="V11" s="3">
        <f t="shared" si="0"/>
        <v>53044.799999999996</v>
      </c>
      <c r="Z11" s="18" t="s">
        <v>51</v>
      </c>
      <c r="AA11" s="117"/>
      <c r="AB11" s="122"/>
      <c r="AC11" s="122"/>
      <c r="AD11" s="122"/>
      <c r="AE11" s="19"/>
      <c r="AI11" s="18" t="s">
        <v>44</v>
      </c>
      <c r="AJ11" s="117">
        <f>+AJ10+O13</f>
        <v>423671.9999999993</v>
      </c>
      <c r="AK11" s="117">
        <v>0</v>
      </c>
      <c r="AL11" s="117">
        <f t="shared" si="4"/>
        <v>423671.9999999993</v>
      </c>
      <c r="AM11" s="144">
        <f>+AL11*30%</f>
        <v>127101.59999999979</v>
      </c>
    </row>
    <row r="12" spans="1:39" s="5" customFormat="1" ht="16.5" thickBot="1" x14ac:dyDescent="0.3">
      <c r="A12" s="1"/>
      <c r="B12" s="1"/>
      <c r="C12" s="1"/>
      <c r="E12" s="8">
        <f t="shared" si="1"/>
        <v>9</v>
      </c>
      <c r="F12" s="127">
        <v>100000</v>
      </c>
      <c r="H12" s="8">
        <f t="shared" si="2"/>
        <v>9</v>
      </c>
      <c r="I12" s="10">
        <f t="shared" si="3"/>
        <v>122102</v>
      </c>
      <c r="J12" s="10">
        <f>+F12</f>
        <v>100000</v>
      </c>
      <c r="L12" s="1" t="s">
        <v>91</v>
      </c>
      <c r="M12" s="1"/>
      <c r="N12" s="1"/>
      <c r="O12" s="3">
        <f>+O8*110%</f>
        <v>1452000.0000000005</v>
      </c>
      <c r="P12" s="1"/>
      <c r="T12" s="3">
        <f>+I12-J12</f>
        <v>22102</v>
      </c>
      <c r="U12" s="63">
        <f>+T12+U11</f>
        <v>198918</v>
      </c>
      <c r="V12" s="63">
        <f t="shared" si="0"/>
        <v>59675.399999999994</v>
      </c>
      <c r="Z12" s="32" t="s">
        <v>52</v>
      </c>
      <c r="AA12" s="124">
        <f>+AA28</f>
        <v>-160432.79999999999</v>
      </c>
      <c r="AB12" s="124">
        <f>+AB28</f>
        <v>-196432.8</v>
      </c>
      <c r="AC12" s="124">
        <f>+AC28</f>
        <v>-236032.80000000005</v>
      </c>
      <c r="AD12" s="124">
        <f>+AD28</f>
        <v>-279592.8000000001</v>
      </c>
      <c r="AE12" s="108">
        <f>+AE28</f>
        <v>-327508.80000000022</v>
      </c>
      <c r="AG12" s="34">
        <f>SUM(AA12:AE12)</f>
        <v>-1200000.0000000005</v>
      </c>
      <c r="AI12" s="18" t="s">
        <v>45</v>
      </c>
      <c r="AJ12" s="117">
        <f>+AJ11-P19</f>
        <v>291695.9999999986</v>
      </c>
      <c r="AK12" s="117">
        <v>0</v>
      </c>
      <c r="AL12" s="117">
        <f t="shared" si="4"/>
        <v>291695.9999999986</v>
      </c>
      <c r="AM12" s="147">
        <f>+AL12*30%</f>
        <v>87508.799999999581</v>
      </c>
    </row>
    <row r="13" spans="1:39" ht="16.5" thickBot="1" x14ac:dyDescent="0.3">
      <c r="E13" s="7">
        <f t="shared" si="1"/>
        <v>10</v>
      </c>
      <c r="F13" s="127">
        <v>100000</v>
      </c>
      <c r="H13" s="7">
        <f t="shared" si="2"/>
        <v>10</v>
      </c>
      <c r="I13" s="10">
        <f t="shared" si="3"/>
        <v>122102</v>
      </c>
      <c r="J13" s="10">
        <f>+F13</f>
        <v>100000</v>
      </c>
      <c r="L13" s="137" t="s">
        <v>93</v>
      </c>
      <c r="M13" s="137"/>
      <c r="N13" s="137"/>
      <c r="O13" s="138">
        <f>+P14-O12</f>
        <v>13223.999999999534</v>
      </c>
      <c r="P13" s="137"/>
      <c r="T13" s="3">
        <f>+I13-J13</f>
        <v>22102</v>
      </c>
      <c r="U13" s="3">
        <f>+T13+U12</f>
        <v>221020</v>
      </c>
      <c r="V13" s="3">
        <f t="shared" si="0"/>
        <v>66306</v>
      </c>
      <c r="Z13" s="32" t="s">
        <v>81</v>
      </c>
      <c r="AA13" s="145">
        <f>-$AG$3-AA12</f>
        <v>-79567.200000000012</v>
      </c>
      <c r="AB13" s="145">
        <f>-$AG$3-AB12</f>
        <v>-43567.200000000012</v>
      </c>
      <c r="AC13" s="125">
        <f>-$AG$3-AC12</f>
        <v>-3967.1999999999534</v>
      </c>
      <c r="AD13" s="125">
        <f>-$AG$3-AD12</f>
        <v>39592.800000000105</v>
      </c>
      <c r="AE13" s="33">
        <f>-$AG$3-AE12</f>
        <v>87508.800000000221</v>
      </c>
      <c r="AG13" s="34">
        <f>SUM(AA13:AE13)</f>
        <v>3.4924596548080444E-10</v>
      </c>
      <c r="AI13" s="121" t="s">
        <v>46</v>
      </c>
      <c r="AJ13" s="82">
        <f>+AJ12-P23</f>
        <v>-2.3283064365386963E-9</v>
      </c>
      <c r="AK13" s="82">
        <v>0</v>
      </c>
      <c r="AL13" s="82">
        <f t="shared" si="4"/>
        <v>-2.3283064365386963E-9</v>
      </c>
      <c r="AM13" s="148">
        <f>+AL13*30%</f>
        <v>-6.9849193096160889E-10</v>
      </c>
    </row>
    <row r="14" spans="1:39" ht="16.5" thickBot="1" x14ac:dyDescent="0.3">
      <c r="E14" s="7">
        <f t="shared" si="1"/>
        <v>11</v>
      </c>
      <c r="F14" s="127">
        <v>100000</v>
      </c>
      <c r="H14" s="7">
        <f t="shared" si="2"/>
        <v>11</v>
      </c>
      <c r="I14" s="10">
        <f t="shared" si="3"/>
        <v>122102</v>
      </c>
      <c r="J14" s="10">
        <f>+F14</f>
        <v>100000</v>
      </c>
      <c r="L14" s="1" t="s">
        <v>92</v>
      </c>
      <c r="P14" s="3">
        <f>+P10</f>
        <v>1465224</v>
      </c>
      <c r="T14" s="3">
        <f>+I14-J14</f>
        <v>22102</v>
      </c>
      <c r="U14" s="3">
        <f>+T14+U13</f>
        <v>243122</v>
      </c>
      <c r="V14" s="3">
        <f t="shared" si="0"/>
        <v>72936.599999999991</v>
      </c>
      <c r="Z14" s="20" t="s">
        <v>53</v>
      </c>
      <c r="AA14" s="21">
        <f>SUM(AA10:AA13)</f>
        <v>560000</v>
      </c>
      <c r="AB14" s="21">
        <f t="shared" ref="AB14:AE14" si="5">SUM(AB10:AB13)</f>
        <v>560000</v>
      </c>
      <c r="AC14" s="21">
        <f t="shared" si="5"/>
        <v>560000</v>
      </c>
      <c r="AD14" s="21">
        <f t="shared" si="5"/>
        <v>560000</v>
      </c>
      <c r="AE14" s="22">
        <f t="shared" si="5"/>
        <v>560000</v>
      </c>
    </row>
    <row r="15" spans="1:39" x14ac:dyDescent="0.25">
      <c r="E15" s="7">
        <f t="shared" si="1"/>
        <v>12</v>
      </c>
      <c r="F15" s="127">
        <v>100000</v>
      </c>
      <c r="H15" s="7">
        <f t="shared" si="2"/>
        <v>12</v>
      </c>
      <c r="I15" s="10">
        <f t="shared" si="3"/>
        <v>122102</v>
      </c>
      <c r="J15" s="10">
        <f>+F15</f>
        <v>100000</v>
      </c>
      <c r="L15" s="11" t="s">
        <v>45</v>
      </c>
      <c r="O15" s="111" t="s">
        <v>12</v>
      </c>
      <c r="P15" s="111" t="s">
        <v>13</v>
      </c>
      <c r="T15" s="3">
        <f>+I15-J15</f>
        <v>22102</v>
      </c>
      <c r="U15" s="10">
        <f>+T15+U14</f>
        <v>265224</v>
      </c>
      <c r="V15" s="13">
        <f t="shared" si="0"/>
        <v>79567.199999999997</v>
      </c>
      <c r="W15" s="13">
        <f>+V15</f>
        <v>79567.199999999997</v>
      </c>
      <c r="Z15" s="60" t="s">
        <v>69</v>
      </c>
      <c r="AA15" s="135">
        <f>-(AA12+AA13)/AA10</f>
        <v>0.3</v>
      </c>
      <c r="AB15" s="135">
        <f t="shared" ref="AB15:AE15" si="6">-(AB12+AB13)/AB10</f>
        <v>0.3</v>
      </c>
      <c r="AC15" s="135">
        <f t="shared" si="6"/>
        <v>0.3</v>
      </c>
      <c r="AD15" s="135">
        <f t="shared" si="6"/>
        <v>0.3</v>
      </c>
      <c r="AE15" s="135">
        <f t="shared" si="6"/>
        <v>0.3</v>
      </c>
    </row>
    <row r="16" spans="1:39" x14ac:dyDescent="0.25">
      <c r="E16" s="7">
        <f t="shared" si="1"/>
        <v>13</v>
      </c>
      <c r="F16" s="128">
        <f>+F4*110%</f>
        <v>110000.00000000001</v>
      </c>
      <c r="H16" s="7">
        <f t="shared" si="2"/>
        <v>13</v>
      </c>
      <c r="I16" s="3">
        <f t="shared" si="3"/>
        <v>122102</v>
      </c>
      <c r="J16" s="3">
        <f>+F16</f>
        <v>110000.00000000001</v>
      </c>
      <c r="L16" s="1" t="s">
        <v>91</v>
      </c>
      <c r="O16" s="3">
        <f>+O12*110%</f>
        <v>1597200.0000000007</v>
      </c>
      <c r="T16" s="3">
        <f>+I16-J16</f>
        <v>12101.999999999985</v>
      </c>
      <c r="U16" s="3">
        <f>+T16+U15</f>
        <v>277326</v>
      </c>
      <c r="V16" s="3">
        <f t="shared" ref="V16:V65" si="7">+U16*$W$2</f>
        <v>83197.8</v>
      </c>
      <c r="AA16" s="60"/>
      <c r="AB16" s="146">
        <f>+AA13+AB13</f>
        <v>-123134.40000000002</v>
      </c>
      <c r="AC16" s="146">
        <f>+AB16+AC13</f>
        <v>-127101.59999999998</v>
      </c>
      <c r="AD16" s="146">
        <f>+AC16+AD13</f>
        <v>-87508.799999999872</v>
      </c>
      <c r="AE16" s="146">
        <f>+AD16+AE13</f>
        <v>3.4924596548080444E-10</v>
      </c>
    </row>
    <row r="17" spans="5:33" x14ac:dyDescent="0.25">
      <c r="E17" s="7"/>
      <c r="F17" s="128"/>
      <c r="H17" s="7"/>
      <c r="I17" s="3"/>
      <c r="J17" s="3"/>
      <c r="O17" s="3"/>
      <c r="T17" s="3"/>
      <c r="U17" s="3"/>
      <c r="V17" s="3"/>
      <c r="AA17" s="60"/>
      <c r="AB17" s="63"/>
      <c r="AC17" s="63"/>
      <c r="AD17" s="3"/>
      <c r="AE17" s="3"/>
    </row>
    <row r="18" spans="5:33" x14ac:dyDescent="0.25">
      <c r="E18" s="7"/>
      <c r="F18" s="128"/>
      <c r="H18" s="7"/>
      <c r="I18" s="3"/>
      <c r="J18" s="3"/>
      <c r="O18" s="3"/>
      <c r="T18" s="3"/>
      <c r="U18" s="3"/>
      <c r="V18" s="3"/>
      <c r="AA18" s="60"/>
      <c r="AB18" s="63"/>
      <c r="AC18" s="63"/>
      <c r="AD18" s="3"/>
      <c r="AE18" s="3"/>
    </row>
    <row r="19" spans="5:33" x14ac:dyDescent="0.25">
      <c r="E19" s="7">
        <f>+E16+1</f>
        <v>14</v>
      </c>
      <c r="F19" s="128">
        <f>+F5*110%</f>
        <v>110000.00000000001</v>
      </c>
      <c r="H19" s="7">
        <f>+H16+1</f>
        <v>14</v>
      </c>
      <c r="I19" s="3">
        <f>+I16</f>
        <v>122102</v>
      </c>
      <c r="J19" s="3">
        <f>+F19</f>
        <v>110000.00000000001</v>
      </c>
      <c r="L19" s="137" t="s">
        <v>93</v>
      </c>
      <c r="M19" s="137"/>
      <c r="N19" s="137"/>
      <c r="O19" s="138"/>
      <c r="P19" s="138">
        <f>+O16-P20</f>
        <v>131976.0000000007</v>
      </c>
      <c r="T19" s="3">
        <f>+I19-J19</f>
        <v>12101.999999999985</v>
      </c>
      <c r="U19" s="3">
        <f>+T19+U16</f>
        <v>289428</v>
      </c>
      <c r="V19" s="3">
        <f t="shared" si="7"/>
        <v>86828.4</v>
      </c>
      <c r="Z19" s="30" t="s">
        <v>61</v>
      </c>
      <c r="AA19" s="27">
        <f>+AA12+AA13</f>
        <v>-240000</v>
      </c>
      <c r="AB19" s="27">
        <f t="shared" ref="AB19:AE19" si="8">+AB12+AB13</f>
        <v>-240000</v>
      </c>
      <c r="AC19" s="27">
        <f t="shared" si="8"/>
        <v>-240000</v>
      </c>
      <c r="AD19" s="27">
        <f t="shared" si="8"/>
        <v>-240000</v>
      </c>
      <c r="AE19" s="27">
        <f t="shared" si="8"/>
        <v>-240000</v>
      </c>
    </row>
    <row r="20" spans="5:33" x14ac:dyDescent="0.25">
      <c r="E20" s="7">
        <f t="shared" si="1"/>
        <v>15</v>
      </c>
      <c r="F20" s="128">
        <f>+F6*110%</f>
        <v>110000.00000000001</v>
      </c>
      <c r="H20" s="7">
        <f t="shared" si="2"/>
        <v>15</v>
      </c>
      <c r="I20" s="3">
        <f t="shared" si="3"/>
        <v>122102</v>
      </c>
      <c r="J20" s="3">
        <f>+F20</f>
        <v>110000.00000000001</v>
      </c>
      <c r="L20" s="1" t="s">
        <v>92</v>
      </c>
      <c r="P20" s="3">
        <f>+P14</f>
        <v>1465224</v>
      </c>
      <c r="T20" s="3">
        <f>+I20-J20</f>
        <v>12101.999999999985</v>
      </c>
      <c r="U20" s="3">
        <f>+T20+U19</f>
        <v>301530</v>
      </c>
      <c r="V20" s="3">
        <f t="shared" si="7"/>
        <v>90459</v>
      </c>
    </row>
    <row r="21" spans="5:33" ht="16.5" thickBot="1" x14ac:dyDescent="0.3">
      <c r="E21" s="7">
        <f t="shared" si="1"/>
        <v>16</v>
      </c>
      <c r="F21" s="128">
        <f>+F7*110%</f>
        <v>110000.00000000001</v>
      </c>
      <c r="H21" s="7">
        <f t="shared" si="2"/>
        <v>16</v>
      </c>
      <c r="I21" s="3">
        <f t="shared" si="3"/>
        <v>122102</v>
      </c>
      <c r="J21" s="3">
        <f>+F21</f>
        <v>110000.00000000001</v>
      </c>
      <c r="L21" s="11" t="s">
        <v>46</v>
      </c>
      <c r="O21" s="111" t="s">
        <v>12</v>
      </c>
      <c r="P21" s="111" t="s">
        <v>13</v>
      </c>
      <c r="T21" s="3">
        <f>+I21-J21</f>
        <v>12101.999999999985</v>
      </c>
      <c r="U21" s="3">
        <f>+T21+U20</f>
        <v>313632</v>
      </c>
      <c r="V21" s="3">
        <f t="shared" si="7"/>
        <v>94089.599999999991</v>
      </c>
    </row>
    <row r="22" spans="5:33" ht="16.5" thickBot="1" x14ac:dyDescent="0.3">
      <c r="E22" s="7">
        <f t="shared" si="1"/>
        <v>17</v>
      </c>
      <c r="F22" s="128">
        <f>+F8*110%</f>
        <v>110000.00000000001</v>
      </c>
      <c r="H22" s="7">
        <f t="shared" si="2"/>
        <v>17</v>
      </c>
      <c r="I22" s="3">
        <f t="shared" si="3"/>
        <v>122102</v>
      </c>
      <c r="J22" s="3">
        <f>+F22</f>
        <v>110000.00000000001</v>
      </c>
      <c r="L22" s="1" t="s">
        <v>91</v>
      </c>
      <c r="O22" s="3">
        <f>+O16*110%</f>
        <v>1756920.0000000009</v>
      </c>
      <c r="T22" s="3">
        <f>+I22-J22</f>
        <v>12101.999999999985</v>
      </c>
      <c r="U22" s="3">
        <f t="shared" ref="U22:U29" si="9">+T22+U21</f>
        <v>325734</v>
      </c>
      <c r="V22" s="3">
        <f t="shared" si="7"/>
        <v>97720.2</v>
      </c>
      <c r="Z22" s="28" t="s">
        <v>55</v>
      </c>
      <c r="AA22" s="23"/>
      <c r="AB22" s="23"/>
      <c r="AC22" s="23"/>
      <c r="AD22" s="23"/>
      <c r="AE22" s="24"/>
    </row>
    <row r="23" spans="5:33" ht="16.5" thickBot="1" x14ac:dyDescent="0.3">
      <c r="E23" s="7">
        <f t="shared" si="1"/>
        <v>18</v>
      </c>
      <c r="F23" s="128">
        <f>+F9*110%</f>
        <v>110000.00000000001</v>
      </c>
      <c r="H23" s="7">
        <f t="shared" si="2"/>
        <v>18</v>
      </c>
      <c r="I23" s="3">
        <f t="shared" si="3"/>
        <v>122102</v>
      </c>
      <c r="J23" s="3">
        <f>+F23</f>
        <v>110000.00000000001</v>
      </c>
      <c r="L23" s="137" t="s">
        <v>93</v>
      </c>
      <c r="M23" s="137"/>
      <c r="N23" s="137"/>
      <c r="O23" s="138"/>
      <c r="P23" s="138">
        <f>+O22-P24</f>
        <v>291696.00000000093</v>
      </c>
      <c r="T23" s="3">
        <f>+I23-J23</f>
        <v>12101.999999999985</v>
      </c>
      <c r="U23" s="3">
        <f t="shared" si="9"/>
        <v>337836</v>
      </c>
      <c r="V23" s="3">
        <f t="shared" si="7"/>
        <v>101350.8</v>
      </c>
      <c r="Z23" s="129" t="s">
        <v>56</v>
      </c>
      <c r="AA23" s="130">
        <f>+AA10</f>
        <v>800000</v>
      </c>
      <c r="AB23" s="130">
        <f>+AB10</f>
        <v>800000</v>
      </c>
      <c r="AC23" s="130">
        <f>+AC10</f>
        <v>800000</v>
      </c>
      <c r="AD23" s="130">
        <f>+AD10</f>
        <v>800000</v>
      </c>
      <c r="AE23" s="131">
        <f>+AE10</f>
        <v>800000</v>
      </c>
    </row>
    <row r="24" spans="5:33" ht="16.5" thickBot="1" x14ac:dyDescent="0.3">
      <c r="E24" s="7">
        <f t="shared" si="1"/>
        <v>19</v>
      </c>
      <c r="F24" s="128">
        <f>+F10*110%</f>
        <v>110000.00000000001</v>
      </c>
      <c r="H24" s="7">
        <f t="shared" si="2"/>
        <v>19</v>
      </c>
      <c r="I24" s="3">
        <f t="shared" si="3"/>
        <v>122102</v>
      </c>
      <c r="J24" s="3">
        <f>+F24</f>
        <v>110000.00000000001</v>
      </c>
      <c r="L24" s="1" t="s">
        <v>92</v>
      </c>
      <c r="P24" s="3">
        <f>+P20</f>
        <v>1465224</v>
      </c>
      <c r="T24" s="3">
        <f>+I24-J24</f>
        <v>12101.999999999985</v>
      </c>
      <c r="U24" s="3">
        <f t="shared" si="9"/>
        <v>349938</v>
      </c>
      <c r="V24" s="3">
        <f t="shared" si="7"/>
        <v>104981.4</v>
      </c>
      <c r="Z24" s="80" t="s">
        <v>76</v>
      </c>
      <c r="AA24" s="132">
        <f>-I4*12</f>
        <v>-1465224</v>
      </c>
      <c r="AB24" s="132">
        <f>+AA24</f>
        <v>-1465224</v>
      </c>
      <c r="AC24" s="132">
        <f t="shared" ref="AC24:AE24" si="10">+AB24</f>
        <v>-1465224</v>
      </c>
      <c r="AD24" s="132">
        <f t="shared" si="10"/>
        <v>-1465224</v>
      </c>
      <c r="AE24" s="133">
        <f t="shared" si="10"/>
        <v>-1465224</v>
      </c>
    </row>
    <row r="25" spans="5:33" ht="16.5" thickBot="1" x14ac:dyDescent="0.3">
      <c r="E25" s="7">
        <f t="shared" si="1"/>
        <v>20</v>
      </c>
      <c r="F25" s="128">
        <f>+F11*110%</f>
        <v>110000.00000000001</v>
      </c>
      <c r="H25" s="7">
        <f t="shared" si="2"/>
        <v>20</v>
      </c>
      <c r="I25" s="3">
        <f t="shared" si="3"/>
        <v>122102</v>
      </c>
      <c r="J25" s="3">
        <f>+F25</f>
        <v>110000.00000000001</v>
      </c>
      <c r="T25" s="3">
        <f>+I25-J25</f>
        <v>12101.999999999985</v>
      </c>
      <c r="U25" s="3">
        <f t="shared" si="9"/>
        <v>362040</v>
      </c>
      <c r="V25" s="3">
        <f t="shared" si="7"/>
        <v>108612</v>
      </c>
      <c r="Z25" s="25" t="s">
        <v>77</v>
      </c>
      <c r="AA25" s="63">
        <f>F4*12</f>
        <v>1200000</v>
      </c>
      <c r="AB25" s="63">
        <f>+AA25*110%</f>
        <v>1320000</v>
      </c>
      <c r="AC25" s="63">
        <f>+AB25*110%</f>
        <v>1452000.0000000002</v>
      </c>
      <c r="AD25" s="63">
        <f>+AC25*110%</f>
        <v>1597200.0000000005</v>
      </c>
      <c r="AE25" s="134">
        <f>+AD25*110%</f>
        <v>1756920.0000000007</v>
      </c>
      <c r="AG25" s="34">
        <f>SUM(AA24:AE25)</f>
        <v>0</v>
      </c>
    </row>
    <row r="26" spans="5:33" ht="16.5" thickBot="1" x14ac:dyDescent="0.3">
      <c r="E26" s="7">
        <f t="shared" si="1"/>
        <v>21</v>
      </c>
      <c r="F26" s="128">
        <f>+F12*110%</f>
        <v>110000.00000000001</v>
      </c>
      <c r="H26" s="7">
        <f t="shared" si="2"/>
        <v>21</v>
      </c>
      <c r="I26" s="3">
        <f t="shared" si="3"/>
        <v>122102</v>
      </c>
      <c r="J26" s="3">
        <f>+F26</f>
        <v>110000.00000000001</v>
      </c>
      <c r="L26" s="139" t="s">
        <v>93</v>
      </c>
      <c r="M26" s="139"/>
      <c r="N26" s="139"/>
      <c r="O26" s="140">
        <f>+O5+O9+O13+O19+O23</f>
        <v>423671.9999999993</v>
      </c>
      <c r="P26" s="140">
        <f>+P5+P9+P13+P19+P23</f>
        <v>423672.00000000163</v>
      </c>
      <c r="T26" s="3">
        <f>+I26-J26</f>
        <v>12101.999999999985</v>
      </c>
      <c r="U26" s="3">
        <f t="shared" si="9"/>
        <v>374142</v>
      </c>
      <c r="V26" s="3">
        <f t="shared" si="7"/>
        <v>112242.59999999999</v>
      </c>
      <c r="Z26" s="81"/>
      <c r="AA26" s="82"/>
      <c r="AB26" s="82"/>
      <c r="AC26" s="82"/>
      <c r="AD26" s="82"/>
      <c r="AE26" s="83"/>
      <c r="AF26" s="3"/>
    </row>
    <row r="27" spans="5:33" ht="16.5" thickBot="1" x14ac:dyDescent="0.3">
      <c r="E27" s="7">
        <f t="shared" si="1"/>
        <v>22</v>
      </c>
      <c r="F27" s="128">
        <f>+F13*110%</f>
        <v>110000.00000000001</v>
      </c>
      <c r="H27" s="7">
        <f t="shared" si="2"/>
        <v>22</v>
      </c>
      <c r="I27" s="3">
        <f t="shared" si="3"/>
        <v>122102</v>
      </c>
      <c r="J27" s="3">
        <f>+F27</f>
        <v>110000.00000000001</v>
      </c>
      <c r="T27" s="3">
        <f>+I27-J27</f>
        <v>12101.999999999985</v>
      </c>
      <c r="U27" s="3">
        <f t="shared" si="9"/>
        <v>386244</v>
      </c>
      <c r="V27" s="3">
        <f t="shared" si="7"/>
        <v>115873.2</v>
      </c>
      <c r="Z27" s="129" t="s">
        <v>57</v>
      </c>
      <c r="AA27" s="130">
        <f>SUM(AA23:AA26)</f>
        <v>534776</v>
      </c>
      <c r="AB27" s="130">
        <f t="shared" ref="AB27:AE27" si="11">SUM(AB23:AB26)</f>
        <v>654776</v>
      </c>
      <c r="AC27" s="130">
        <f t="shared" si="11"/>
        <v>786776.00000000023</v>
      </c>
      <c r="AD27" s="130">
        <f t="shared" si="11"/>
        <v>931976.00000000047</v>
      </c>
      <c r="AE27" s="131">
        <f t="shared" si="11"/>
        <v>1091696.0000000007</v>
      </c>
    </row>
    <row r="28" spans="5:33" ht="16.5" thickBot="1" x14ac:dyDescent="0.3">
      <c r="E28" s="7">
        <f t="shared" si="1"/>
        <v>23</v>
      </c>
      <c r="F28" s="128">
        <f>+F14*110%</f>
        <v>110000.00000000001</v>
      </c>
      <c r="H28" s="7">
        <f t="shared" si="2"/>
        <v>23</v>
      </c>
      <c r="I28" s="3">
        <f t="shared" si="3"/>
        <v>122102</v>
      </c>
      <c r="J28" s="3">
        <f>+F28</f>
        <v>110000.00000000001</v>
      </c>
      <c r="T28" s="3">
        <f>+I28-J28</f>
        <v>12101.999999999985</v>
      </c>
      <c r="U28" s="3">
        <f t="shared" si="9"/>
        <v>398346</v>
      </c>
      <c r="V28" s="3">
        <f t="shared" si="7"/>
        <v>119503.79999999999</v>
      </c>
      <c r="Z28" s="55" t="s">
        <v>60</v>
      </c>
      <c r="AA28" s="56">
        <f>-AA27*$Z$29</f>
        <v>-160432.79999999999</v>
      </c>
      <c r="AB28" s="56">
        <f>-AB27*$Z$29</f>
        <v>-196432.8</v>
      </c>
      <c r="AC28" s="56">
        <f>-AC27*$Z$29</f>
        <v>-236032.80000000005</v>
      </c>
      <c r="AD28" s="56">
        <f>-AD27*$Z$29</f>
        <v>-279592.8000000001</v>
      </c>
      <c r="AE28" s="57">
        <f>-AE27*$Z$29</f>
        <v>-327508.80000000022</v>
      </c>
    </row>
    <row r="29" spans="5:33" ht="16.5" thickBot="1" x14ac:dyDescent="0.3">
      <c r="E29" s="7">
        <f t="shared" si="1"/>
        <v>24</v>
      </c>
      <c r="F29" s="128">
        <f>+F15*110%</f>
        <v>110000.00000000001</v>
      </c>
      <c r="H29" s="7">
        <f t="shared" si="2"/>
        <v>24</v>
      </c>
      <c r="I29" s="3">
        <f t="shared" si="3"/>
        <v>122102</v>
      </c>
      <c r="J29" s="3">
        <f>+F29</f>
        <v>110000.00000000001</v>
      </c>
      <c r="T29" s="3">
        <f>+I29-J29</f>
        <v>12101.999999999985</v>
      </c>
      <c r="U29" s="10">
        <f t="shared" si="9"/>
        <v>410448</v>
      </c>
      <c r="V29" s="10">
        <f t="shared" si="7"/>
        <v>123134.39999999999</v>
      </c>
      <c r="W29" s="13">
        <f>+V29</f>
        <v>123134.39999999999</v>
      </c>
      <c r="Z29" s="29">
        <v>0.3</v>
      </c>
    </row>
    <row r="30" spans="5:33" ht="16.5" thickBot="1" x14ac:dyDescent="0.3">
      <c r="E30" s="7">
        <f t="shared" si="1"/>
        <v>25</v>
      </c>
      <c r="F30" s="39">
        <f>+F16*110%</f>
        <v>121000.00000000003</v>
      </c>
      <c r="H30" s="7">
        <f t="shared" si="2"/>
        <v>25</v>
      </c>
      <c r="I30" s="3">
        <f t="shared" si="3"/>
        <v>122102</v>
      </c>
      <c r="J30" s="3">
        <f>+F30</f>
        <v>121000.00000000003</v>
      </c>
      <c r="T30" s="3">
        <f>+I30-J30</f>
        <v>1101.9999999999709</v>
      </c>
      <c r="U30" s="3">
        <f t="shared" ref="U30:U61" si="12">+T30+U29</f>
        <v>411550</v>
      </c>
      <c r="V30" s="3">
        <f t="shared" si="7"/>
        <v>123465</v>
      </c>
      <c r="AB30" s="58" t="s">
        <v>12</v>
      </c>
      <c r="AC30" s="59" t="s">
        <v>13</v>
      </c>
    </row>
    <row r="31" spans="5:33" x14ac:dyDescent="0.25">
      <c r="E31" s="7">
        <f t="shared" si="1"/>
        <v>26</v>
      </c>
      <c r="F31" s="39">
        <f>+F19*110%</f>
        <v>121000.00000000003</v>
      </c>
      <c r="H31" s="7">
        <f t="shared" si="2"/>
        <v>26</v>
      </c>
      <c r="I31" s="3">
        <f t="shared" si="3"/>
        <v>122102</v>
      </c>
      <c r="J31" s="3">
        <f>+F31</f>
        <v>121000.00000000003</v>
      </c>
      <c r="T31" s="3">
        <f>+I31-J31</f>
        <v>1101.9999999999709</v>
      </c>
      <c r="U31" s="3">
        <f t="shared" ref="U31:U40" si="13">+T31+U30</f>
        <v>412652</v>
      </c>
      <c r="V31" s="3">
        <f t="shared" si="7"/>
        <v>123795.59999999999</v>
      </c>
      <c r="Z31" s="45" t="s">
        <v>65</v>
      </c>
      <c r="AA31" s="46">
        <v>881</v>
      </c>
      <c r="AB31" s="47">
        <f>+-AA28</f>
        <v>160432.79999999999</v>
      </c>
      <c r="AC31" s="48"/>
    </row>
    <row r="32" spans="5:33" ht="16.5" thickBot="1" x14ac:dyDescent="0.3">
      <c r="E32" s="7">
        <f t="shared" si="1"/>
        <v>27</v>
      </c>
      <c r="F32" s="39">
        <f t="shared" ref="F32:F41" si="14">+F20*110%</f>
        <v>121000.00000000003</v>
      </c>
      <c r="H32" s="7">
        <f t="shared" si="2"/>
        <v>27</v>
      </c>
      <c r="I32" s="3">
        <f t="shared" si="3"/>
        <v>122102</v>
      </c>
      <c r="J32" s="3">
        <f>+F32</f>
        <v>121000.00000000003</v>
      </c>
      <c r="T32" s="3">
        <f>+I32-J32</f>
        <v>1101.9999999999709</v>
      </c>
      <c r="U32" s="3">
        <f t="shared" si="13"/>
        <v>413754</v>
      </c>
      <c r="V32" s="3">
        <f t="shared" si="7"/>
        <v>124126.2</v>
      </c>
      <c r="Z32" s="104" t="s">
        <v>66</v>
      </c>
      <c r="AA32" s="105">
        <v>4017</v>
      </c>
      <c r="AB32" s="105"/>
      <c r="AC32" s="106">
        <f>+AB31</f>
        <v>160432.79999999999</v>
      </c>
      <c r="AD32" s="5" t="s">
        <v>90</v>
      </c>
    </row>
    <row r="33" spans="5:23" x14ac:dyDescent="0.25">
      <c r="E33" s="7">
        <f t="shared" si="1"/>
        <v>28</v>
      </c>
      <c r="F33" s="39">
        <f t="shared" si="14"/>
        <v>121000.00000000003</v>
      </c>
      <c r="H33" s="7">
        <f t="shared" si="2"/>
        <v>28</v>
      </c>
      <c r="I33" s="3">
        <f t="shared" si="3"/>
        <v>122102</v>
      </c>
      <c r="J33" s="3">
        <f>+F33</f>
        <v>121000.00000000003</v>
      </c>
      <c r="T33" s="3">
        <f>+I33-J33</f>
        <v>1101.9999999999709</v>
      </c>
      <c r="U33" s="3">
        <f t="shared" si="13"/>
        <v>414856</v>
      </c>
      <c r="V33" s="3">
        <f t="shared" si="7"/>
        <v>124456.79999999999</v>
      </c>
    </row>
    <row r="34" spans="5:23" x14ac:dyDescent="0.25">
      <c r="E34" s="7">
        <f t="shared" si="1"/>
        <v>29</v>
      </c>
      <c r="F34" s="39">
        <f t="shared" si="14"/>
        <v>121000.00000000003</v>
      </c>
      <c r="H34" s="7">
        <f t="shared" si="2"/>
        <v>29</v>
      </c>
      <c r="I34" s="3">
        <f t="shared" si="3"/>
        <v>122102</v>
      </c>
      <c r="J34" s="3">
        <f>+F34</f>
        <v>121000.00000000003</v>
      </c>
      <c r="T34" s="3">
        <f>+I34-J34</f>
        <v>1101.9999999999709</v>
      </c>
      <c r="U34" s="3">
        <f t="shared" si="13"/>
        <v>415958</v>
      </c>
      <c r="V34" s="3">
        <f t="shared" si="7"/>
        <v>124787.4</v>
      </c>
    </row>
    <row r="35" spans="5:23" x14ac:dyDescent="0.25">
      <c r="E35" s="7">
        <f t="shared" si="1"/>
        <v>30</v>
      </c>
      <c r="F35" s="39">
        <f t="shared" si="14"/>
        <v>121000.00000000003</v>
      </c>
      <c r="H35" s="7">
        <f t="shared" si="2"/>
        <v>30</v>
      </c>
      <c r="I35" s="3">
        <f t="shared" si="3"/>
        <v>122102</v>
      </c>
      <c r="J35" s="3">
        <f>+F35</f>
        <v>121000.00000000003</v>
      </c>
      <c r="T35" s="3">
        <f>+I35-J35</f>
        <v>1101.9999999999709</v>
      </c>
      <c r="U35" s="3">
        <f t="shared" si="13"/>
        <v>417060</v>
      </c>
      <c r="V35" s="3">
        <f t="shared" si="7"/>
        <v>125118</v>
      </c>
    </row>
    <row r="36" spans="5:23" x14ac:dyDescent="0.25">
      <c r="E36" s="7">
        <f t="shared" si="1"/>
        <v>31</v>
      </c>
      <c r="F36" s="39">
        <f t="shared" si="14"/>
        <v>121000.00000000003</v>
      </c>
      <c r="H36" s="7">
        <f t="shared" si="2"/>
        <v>31</v>
      </c>
      <c r="I36" s="3">
        <f t="shared" si="3"/>
        <v>122102</v>
      </c>
      <c r="J36" s="3">
        <f>+F36</f>
        <v>121000.00000000003</v>
      </c>
      <c r="T36" s="3">
        <f>+I36-J36</f>
        <v>1101.9999999999709</v>
      </c>
      <c r="U36" s="3">
        <f t="shared" si="13"/>
        <v>418162</v>
      </c>
      <c r="V36" s="3">
        <f t="shared" si="7"/>
        <v>125448.59999999999</v>
      </c>
    </row>
    <row r="37" spans="5:23" x14ac:dyDescent="0.25">
      <c r="E37" s="7">
        <f t="shared" si="1"/>
        <v>32</v>
      </c>
      <c r="F37" s="39">
        <f t="shared" si="14"/>
        <v>121000.00000000003</v>
      </c>
      <c r="H37" s="7">
        <f t="shared" si="2"/>
        <v>32</v>
      </c>
      <c r="I37" s="3">
        <f t="shared" si="3"/>
        <v>122102</v>
      </c>
      <c r="J37" s="3">
        <f>+F37</f>
        <v>121000.00000000003</v>
      </c>
      <c r="T37" s="3">
        <f>+I37-J37</f>
        <v>1101.9999999999709</v>
      </c>
      <c r="U37" s="3">
        <f t="shared" si="13"/>
        <v>419264</v>
      </c>
      <c r="V37" s="3">
        <f t="shared" si="7"/>
        <v>125779.2</v>
      </c>
    </row>
    <row r="38" spans="5:23" x14ac:dyDescent="0.25">
      <c r="E38" s="7">
        <f t="shared" si="1"/>
        <v>33</v>
      </c>
      <c r="F38" s="39">
        <f t="shared" si="14"/>
        <v>121000.00000000003</v>
      </c>
      <c r="H38" s="7">
        <f t="shared" si="2"/>
        <v>33</v>
      </c>
      <c r="I38" s="3">
        <f t="shared" si="3"/>
        <v>122102</v>
      </c>
      <c r="J38" s="3">
        <f>+F38</f>
        <v>121000.00000000003</v>
      </c>
      <c r="T38" s="3">
        <f>+I38-J38</f>
        <v>1101.9999999999709</v>
      </c>
      <c r="U38" s="3">
        <f t="shared" si="13"/>
        <v>420366</v>
      </c>
      <c r="V38" s="3">
        <f t="shared" si="7"/>
        <v>126109.79999999999</v>
      </c>
    </row>
    <row r="39" spans="5:23" x14ac:dyDescent="0.25">
      <c r="E39" s="7">
        <f t="shared" si="1"/>
        <v>34</v>
      </c>
      <c r="F39" s="39">
        <f t="shared" si="14"/>
        <v>121000.00000000003</v>
      </c>
      <c r="H39" s="7">
        <f t="shared" si="2"/>
        <v>34</v>
      </c>
      <c r="I39" s="3">
        <f t="shared" si="3"/>
        <v>122102</v>
      </c>
      <c r="J39" s="3">
        <f>+F39</f>
        <v>121000.00000000003</v>
      </c>
      <c r="T39" s="3">
        <f>+I39-J39</f>
        <v>1101.9999999999709</v>
      </c>
      <c r="U39" s="3">
        <f t="shared" si="13"/>
        <v>421468</v>
      </c>
      <c r="V39" s="3">
        <f t="shared" si="7"/>
        <v>126440.4</v>
      </c>
    </row>
    <row r="40" spans="5:23" x14ac:dyDescent="0.25">
      <c r="E40" s="7">
        <f t="shared" si="1"/>
        <v>35</v>
      </c>
      <c r="F40" s="39">
        <f t="shared" si="14"/>
        <v>121000.00000000003</v>
      </c>
      <c r="H40" s="7">
        <f t="shared" si="2"/>
        <v>35</v>
      </c>
      <c r="I40" s="3">
        <f t="shared" si="3"/>
        <v>122102</v>
      </c>
      <c r="J40" s="3">
        <f>+F40</f>
        <v>121000.00000000003</v>
      </c>
      <c r="T40" s="3">
        <f>+I40-J40</f>
        <v>1101.9999999999709</v>
      </c>
      <c r="U40" s="3">
        <f t="shared" si="13"/>
        <v>422570</v>
      </c>
      <c r="V40" s="3">
        <f t="shared" si="7"/>
        <v>126771</v>
      </c>
    </row>
    <row r="41" spans="5:23" x14ac:dyDescent="0.25">
      <c r="E41" s="7">
        <f t="shared" si="1"/>
        <v>36</v>
      </c>
      <c r="F41" s="39">
        <f t="shared" si="14"/>
        <v>121000.00000000003</v>
      </c>
      <c r="H41" s="7">
        <f t="shared" si="2"/>
        <v>36</v>
      </c>
      <c r="I41" s="3">
        <f t="shared" si="3"/>
        <v>122102</v>
      </c>
      <c r="J41" s="3">
        <f>+F41</f>
        <v>121000.00000000003</v>
      </c>
      <c r="T41" s="3">
        <f>+I41-J41</f>
        <v>1101.9999999999709</v>
      </c>
      <c r="U41" s="3">
        <f t="shared" si="12"/>
        <v>423672</v>
      </c>
      <c r="V41" s="3">
        <f t="shared" si="7"/>
        <v>127101.59999999999</v>
      </c>
      <c r="W41" s="13">
        <f>+V41</f>
        <v>127101.59999999999</v>
      </c>
    </row>
    <row r="42" spans="5:23" x14ac:dyDescent="0.25">
      <c r="E42" s="7">
        <f t="shared" si="1"/>
        <v>37</v>
      </c>
      <c r="F42" s="128">
        <f>+F30*110%</f>
        <v>133100.00000000003</v>
      </c>
      <c r="H42" s="7">
        <f t="shared" si="2"/>
        <v>37</v>
      </c>
      <c r="I42" s="3">
        <f t="shared" si="3"/>
        <v>122102</v>
      </c>
      <c r="J42" s="3">
        <f>+F42</f>
        <v>133100.00000000003</v>
      </c>
      <c r="T42" s="3">
        <f>+I42-J42</f>
        <v>-10998.000000000029</v>
      </c>
      <c r="U42" s="3">
        <f t="shared" ref="U42:U49" si="15">+T42+U41</f>
        <v>412674</v>
      </c>
      <c r="V42" s="3">
        <f t="shared" si="7"/>
        <v>123802.2</v>
      </c>
      <c r="W42" s="1"/>
    </row>
    <row r="43" spans="5:23" x14ac:dyDescent="0.25">
      <c r="E43" s="7">
        <f t="shared" si="1"/>
        <v>38</v>
      </c>
      <c r="F43" s="128">
        <f>+F31*110%</f>
        <v>133100.00000000003</v>
      </c>
      <c r="H43" s="7">
        <f t="shared" si="2"/>
        <v>38</v>
      </c>
      <c r="I43" s="3">
        <f t="shared" si="3"/>
        <v>122102</v>
      </c>
      <c r="J43" s="3">
        <f>+F43</f>
        <v>133100.00000000003</v>
      </c>
      <c r="T43" s="3">
        <f>+I43-J43</f>
        <v>-10998.000000000029</v>
      </c>
      <c r="U43" s="3">
        <f t="shared" si="15"/>
        <v>401676</v>
      </c>
      <c r="V43" s="3">
        <f t="shared" si="7"/>
        <v>120502.79999999999</v>
      </c>
    </row>
    <row r="44" spans="5:23" x14ac:dyDescent="0.25">
      <c r="E44" s="7">
        <f t="shared" si="1"/>
        <v>39</v>
      </c>
      <c r="F44" s="128">
        <f t="shared" ref="F44:F53" si="16">+F32*110%</f>
        <v>133100.00000000003</v>
      </c>
      <c r="H44" s="7">
        <f t="shared" si="2"/>
        <v>39</v>
      </c>
      <c r="I44" s="3">
        <f t="shared" si="3"/>
        <v>122102</v>
      </c>
      <c r="J44" s="3">
        <f>+F44</f>
        <v>133100.00000000003</v>
      </c>
      <c r="T44" s="3">
        <f>+I44-J44</f>
        <v>-10998.000000000029</v>
      </c>
      <c r="U44" s="3">
        <f t="shared" si="15"/>
        <v>390678</v>
      </c>
      <c r="V44" s="3">
        <f t="shared" si="7"/>
        <v>117203.4</v>
      </c>
    </row>
    <row r="45" spans="5:23" x14ac:dyDescent="0.25">
      <c r="E45" s="7">
        <f t="shared" si="1"/>
        <v>40</v>
      </c>
      <c r="F45" s="128">
        <f t="shared" si="16"/>
        <v>133100.00000000003</v>
      </c>
      <c r="H45" s="7">
        <f t="shared" si="2"/>
        <v>40</v>
      </c>
      <c r="I45" s="3">
        <f t="shared" si="3"/>
        <v>122102</v>
      </c>
      <c r="J45" s="3">
        <f>+F45</f>
        <v>133100.00000000003</v>
      </c>
      <c r="T45" s="3">
        <f>+I45-J45</f>
        <v>-10998.000000000029</v>
      </c>
      <c r="U45" s="3">
        <f t="shared" si="15"/>
        <v>379680</v>
      </c>
      <c r="V45" s="3">
        <f t="shared" si="7"/>
        <v>113904</v>
      </c>
    </row>
    <row r="46" spans="5:23" x14ac:dyDescent="0.25">
      <c r="E46" s="7">
        <f t="shared" si="1"/>
        <v>41</v>
      </c>
      <c r="F46" s="128">
        <f t="shared" si="16"/>
        <v>133100.00000000003</v>
      </c>
      <c r="H46" s="7">
        <f t="shared" si="2"/>
        <v>41</v>
      </c>
      <c r="I46" s="3">
        <f t="shared" si="3"/>
        <v>122102</v>
      </c>
      <c r="J46" s="3">
        <f>+F46</f>
        <v>133100.00000000003</v>
      </c>
      <c r="T46" s="3">
        <f>+I46-J46</f>
        <v>-10998.000000000029</v>
      </c>
      <c r="U46" s="3">
        <f t="shared" si="15"/>
        <v>368682</v>
      </c>
      <c r="V46" s="3">
        <f t="shared" si="7"/>
        <v>110604.59999999999</v>
      </c>
    </row>
    <row r="47" spans="5:23" x14ac:dyDescent="0.25">
      <c r="E47" s="7">
        <f t="shared" si="1"/>
        <v>42</v>
      </c>
      <c r="F47" s="128">
        <f t="shared" si="16"/>
        <v>133100.00000000003</v>
      </c>
      <c r="H47" s="7">
        <f t="shared" si="2"/>
        <v>42</v>
      </c>
      <c r="I47" s="3">
        <f t="shared" si="3"/>
        <v>122102</v>
      </c>
      <c r="J47" s="3">
        <f>+F47</f>
        <v>133100.00000000003</v>
      </c>
      <c r="T47" s="3">
        <f>+I47-J47</f>
        <v>-10998.000000000029</v>
      </c>
      <c r="U47" s="3">
        <f t="shared" si="15"/>
        <v>357684</v>
      </c>
      <c r="V47" s="3">
        <f t="shared" si="7"/>
        <v>107305.2</v>
      </c>
    </row>
    <row r="48" spans="5:23" x14ac:dyDescent="0.25">
      <c r="E48" s="7">
        <f t="shared" si="1"/>
        <v>43</v>
      </c>
      <c r="F48" s="128">
        <f t="shared" si="16"/>
        <v>133100.00000000003</v>
      </c>
      <c r="H48" s="7">
        <f t="shared" si="2"/>
        <v>43</v>
      </c>
      <c r="I48" s="3">
        <f t="shared" si="3"/>
        <v>122102</v>
      </c>
      <c r="J48" s="3">
        <f>+F48</f>
        <v>133100.00000000003</v>
      </c>
      <c r="T48" s="3">
        <f>+I48-J48</f>
        <v>-10998.000000000029</v>
      </c>
      <c r="U48" s="3">
        <f t="shared" si="15"/>
        <v>346686</v>
      </c>
      <c r="V48" s="3">
        <f t="shared" si="7"/>
        <v>104005.8</v>
      </c>
    </row>
    <row r="49" spans="5:23" x14ac:dyDescent="0.25">
      <c r="E49" s="7">
        <f t="shared" si="1"/>
        <v>44</v>
      </c>
      <c r="F49" s="128">
        <f t="shared" si="16"/>
        <v>133100.00000000003</v>
      </c>
      <c r="H49" s="7">
        <f t="shared" si="2"/>
        <v>44</v>
      </c>
      <c r="I49" s="3">
        <f t="shared" si="3"/>
        <v>122102</v>
      </c>
      <c r="J49" s="3">
        <f>+F49</f>
        <v>133100.00000000003</v>
      </c>
      <c r="T49" s="3">
        <f>+I49-J49</f>
        <v>-10998.000000000029</v>
      </c>
      <c r="U49" s="3">
        <f t="shared" si="15"/>
        <v>335688</v>
      </c>
      <c r="V49" s="3">
        <f t="shared" si="7"/>
        <v>100706.4</v>
      </c>
    </row>
    <row r="50" spans="5:23" x14ac:dyDescent="0.25">
      <c r="E50" s="7">
        <f t="shared" si="1"/>
        <v>45</v>
      </c>
      <c r="F50" s="128">
        <f t="shared" si="16"/>
        <v>133100.00000000003</v>
      </c>
      <c r="H50" s="7">
        <f t="shared" si="2"/>
        <v>45</v>
      </c>
      <c r="I50" s="3">
        <f t="shared" si="3"/>
        <v>122102</v>
      </c>
      <c r="J50" s="3">
        <f>+F50</f>
        <v>133100.00000000003</v>
      </c>
      <c r="T50" s="3">
        <f>+I50-J50</f>
        <v>-10998.000000000029</v>
      </c>
      <c r="U50" s="3">
        <f t="shared" si="12"/>
        <v>324690</v>
      </c>
      <c r="V50" s="3">
        <f t="shared" si="7"/>
        <v>97407</v>
      </c>
    </row>
    <row r="51" spans="5:23" x14ac:dyDescent="0.25">
      <c r="E51" s="7">
        <f t="shared" si="1"/>
        <v>46</v>
      </c>
      <c r="F51" s="128">
        <f t="shared" si="16"/>
        <v>133100.00000000003</v>
      </c>
      <c r="H51" s="7">
        <f t="shared" si="2"/>
        <v>46</v>
      </c>
      <c r="I51" s="3">
        <f t="shared" si="3"/>
        <v>122102</v>
      </c>
      <c r="J51" s="3">
        <f>+F51</f>
        <v>133100.00000000003</v>
      </c>
      <c r="T51" s="3">
        <f>+I51-J51</f>
        <v>-10998.000000000029</v>
      </c>
      <c r="U51" s="3">
        <f t="shared" ref="U51:U60" si="17">+T51+U50</f>
        <v>313692</v>
      </c>
      <c r="V51" s="3">
        <f t="shared" si="7"/>
        <v>94107.599999999991</v>
      </c>
    </row>
    <row r="52" spans="5:23" x14ac:dyDescent="0.25">
      <c r="E52" s="7">
        <f t="shared" si="1"/>
        <v>47</v>
      </c>
      <c r="F52" s="128">
        <f t="shared" si="16"/>
        <v>133100.00000000003</v>
      </c>
      <c r="H52" s="7">
        <f t="shared" si="2"/>
        <v>47</v>
      </c>
      <c r="I52" s="3">
        <f t="shared" si="3"/>
        <v>122102</v>
      </c>
      <c r="J52" s="3">
        <f>+F52</f>
        <v>133100.00000000003</v>
      </c>
      <c r="T52" s="3">
        <f>+I52-J52</f>
        <v>-10998.000000000029</v>
      </c>
      <c r="U52" s="3">
        <f t="shared" si="17"/>
        <v>302694</v>
      </c>
      <c r="V52" s="3">
        <f t="shared" si="7"/>
        <v>90808.2</v>
      </c>
    </row>
    <row r="53" spans="5:23" x14ac:dyDescent="0.25">
      <c r="E53" s="7">
        <f t="shared" si="1"/>
        <v>48</v>
      </c>
      <c r="F53" s="128">
        <f t="shared" si="16"/>
        <v>133100.00000000003</v>
      </c>
      <c r="H53" s="7">
        <f t="shared" si="2"/>
        <v>48</v>
      </c>
      <c r="I53" s="3">
        <f t="shared" si="3"/>
        <v>122102</v>
      </c>
      <c r="J53" s="3">
        <f>+F53</f>
        <v>133100.00000000003</v>
      </c>
      <c r="T53" s="3">
        <f>+I53-J53</f>
        <v>-10998.000000000029</v>
      </c>
      <c r="U53" s="3">
        <f t="shared" si="17"/>
        <v>291696</v>
      </c>
      <c r="V53" s="3">
        <f t="shared" si="7"/>
        <v>87508.800000000003</v>
      </c>
      <c r="W53" s="13">
        <f>+V53</f>
        <v>87508.800000000003</v>
      </c>
    </row>
    <row r="54" spans="5:23" x14ac:dyDescent="0.25">
      <c r="E54" s="7">
        <f t="shared" si="1"/>
        <v>49</v>
      </c>
      <c r="F54" s="39">
        <f>+F42*110%</f>
        <v>146410.00000000006</v>
      </c>
      <c r="H54" s="7">
        <f t="shared" si="2"/>
        <v>49</v>
      </c>
      <c r="I54" s="3">
        <f t="shared" si="3"/>
        <v>122102</v>
      </c>
      <c r="J54" s="3">
        <f>+F54</f>
        <v>146410.00000000006</v>
      </c>
      <c r="T54" s="3">
        <f>+I54-J54</f>
        <v>-24308.000000000058</v>
      </c>
      <c r="U54" s="3">
        <f t="shared" si="17"/>
        <v>267387.99999999994</v>
      </c>
      <c r="V54" s="3">
        <f t="shared" si="7"/>
        <v>80216.39999999998</v>
      </c>
    </row>
    <row r="55" spans="5:23" x14ac:dyDescent="0.25">
      <c r="E55" s="7">
        <f t="shared" si="1"/>
        <v>50</v>
      </c>
      <c r="F55" s="39">
        <f>+F43*110%</f>
        <v>146410.00000000006</v>
      </c>
      <c r="H55" s="7">
        <f t="shared" si="2"/>
        <v>50</v>
      </c>
      <c r="I55" s="3">
        <f t="shared" si="3"/>
        <v>122102</v>
      </c>
      <c r="J55" s="3">
        <f>+F55</f>
        <v>146410.00000000006</v>
      </c>
      <c r="T55" s="3">
        <f>+I55-J55</f>
        <v>-24308.000000000058</v>
      </c>
      <c r="U55" s="3">
        <f t="shared" si="17"/>
        <v>243079.99999999988</v>
      </c>
      <c r="V55" s="3">
        <f t="shared" si="7"/>
        <v>72923.999999999956</v>
      </c>
    </row>
    <row r="56" spans="5:23" x14ac:dyDescent="0.25">
      <c r="E56" s="7">
        <f t="shared" si="1"/>
        <v>51</v>
      </c>
      <c r="F56" s="39">
        <f t="shared" ref="F56:F65" si="18">+F44*110%</f>
        <v>146410.00000000006</v>
      </c>
      <c r="H56" s="7">
        <f t="shared" si="2"/>
        <v>51</v>
      </c>
      <c r="I56" s="3">
        <f t="shared" si="3"/>
        <v>122102</v>
      </c>
      <c r="J56" s="3">
        <f>+F56</f>
        <v>146410.00000000006</v>
      </c>
      <c r="T56" s="3">
        <f>+I56-J56</f>
        <v>-24308.000000000058</v>
      </c>
      <c r="U56" s="3">
        <f t="shared" si="17"/>
        <v>218771.99999999983</v>
      </c>
      <c r="V56" s="3">
        <f t="shared" si="7"/>
        <v>65631.599999999948</v>
      </c>
    </row>
    <row r="57" spans="5:23" x14ac:dyDescent="0.25">
      <c r="E57" s="7">
        <f t="shared" si="1"/>
        <v>52</v>
      </c>
      <c r="F57" s="39">
        <f t="shared" si="18"/>
        <v>146410.00000000006</v>
      </c>
      <c r="H57" s="7">
        <f t="shared" si="2"/>
        <v>52</v>
      </c>
      <c r="I57" s="3">
        <f t="shared" si="3"/>
        <v>122102</v>
      </c>
      <c r="J57" s="3">
        <f>+F57</f>
        <v>146410.00000000006</v>
      </c>
      <c r="T57" s="3">
        <f>+I57-J57</f>
        <v>-24308.000000000058</v>
      </c>
      <c r="U57" s="3">
        <f t="shared" si="17"/>
        <v>194463.99999999977</v>
      </c>
      <c r="V57" s="3">
        <f t="shared" si="7"/>
        <v>58339.199999999932</v>
      </c>
    </row>
    <row r="58" spans="5:23" x14ac:dyDescent="0.25">
      <c r="E58" s="7">
        <f t="shared" si="1"/>
        <v>53</v>
      </c>
      <c r="F58" s="39">
        <f t="shared" si="18"/>
        <v>146410.00000000006</v>
      </c>
      <c r="H58" s="7">
        <f t="shared" si="2"/>
        <v>53</v>
      </c>
      <c r="I58" s="3">
        <f t="shared" si="3"/>
        <v>122102</v>
      </c>
      <c r="J58" s="3">
        <f>+F58</f>
        <v>146410.00000000006</v>
      </c>
      <c r="T58" s="3">
        <f>+I58-J58</f>
        <v>-24308.000000000058</v>
      </c>
      <c r="U58" s="3">
        <f t="shared" si="17"/>
        <v>170155.99999999971</v>
      </c>
      <c r="V58" s="3">
        <f t="shared" si="7"/>
        <v>51046.799999999908</v>
      </c>
    </row>
    <row r="59" spans="5:23" x14ac:dyDescent="0.25">
      <c r="E59" s="7">
        <f t="shared" si="1"/>
        <v>54</v>
      </c>
      <c r="F59" s="39">
        <f t="shared" si="18"/>
        <v>146410.00000000006</v>
      </c>
      <c r="H59" s="7">
        <f t="shared" si="2"/>
        <v>54</v>
      </c>
      <c r="I59" s="3">
        <f t="shared" si="3"/>
        <v>122102</v>
      </c>
      <c r="J59" s="3">
        <f>+F59</f>
        <v>146410.00000000006</v>
      </c>
      <c r="T59" s="3">
        <f>+I59-J59</f>
        <v>-24308.000000000058</v>
      </c>
      <c r="U59" s="3">
        <f t="shared" si="17"/>
        <v>145847.99999999965</v>
      </c>
      <c r="V59" s="3">
        <f t="shared" si="7"/>
        <v>43754.399999999892</v>
      </c>
    </row>
    <row r="60" spans="5:23" x14ac:dyDescent="0.25">
      <c r="E60" s="7">
        <f t="shared" si="1"/>
        <v>55</v>
      </c>
      <c r="F60" s="39">
        <f t="shared" si="18"/>
        <v>146410.00000000006</v>
      </c>
      <c r="H60" s="7">
        <f t="shared" si="2"/>
        <v>55</v>
      </c>
      <c r="I60" s="3">
        <f t="shared" si="3"/>
        <v>122102</v>
      </c>
      <c r="J60" s="3">
        <f>+F60</f>
        <v>146410.00000000006</v>
      </c>
      <c r="T60" s="3">
        <f>+I60-J60</f>
        <v>-24308.000000000058</v>
      </c>
      <c r="U60" s="3">
        <f t="shared" si="17"/>
        <v>121539.99999999959</v>
      </c>
      <c r="V60" s="3">
        <f t="shared" si="7"/>
        <v>36461.999999999876</v>
      </c>
    </row>
    <row r="61" spans="5:23" x14ac:dyDescent="0.25">
      <c r="E61" s="7">
        <f t="shared" si="1"/>
        <v>56</v>
      </c>
      <c r="F61" s="39">
        <f t="shared" si="18"/>
        <v>146410.00000000006</v>
      </c>
      <c r="H61" s="7">
        <f t="shared" si="2"/>
        <v>56</v>
      </c>
      <c r="I61" s="3">
        <f t="shared" si="3"/>
        <v>122102</v>
      </c>
      <c r="J61" s="3">
        <f>+F61</f>
        <v>146410.00000000006</v>
      </c>
      <c r="T61" s="3">
        <f>+I61-J61</f>
        <v>-24308.000000000058</v>
      </c>
      <c r="U61" s="3">
        <f t="shared" si="12"/>
        <v>97231.999999999534</v>
      </c>
      <c r="V61" s="3">
        <f t="shared" si="7"/>
        <v>29169.59999999986</v>
      </c>
    </row>
    <row r="62" spans="5:23" x14ac:dyDescent="0.25">
      <c r="E62" s="7">
        <f t="shared" si="1"/>
        <v>57</v>
      </c>
      <c r="F62" s="39">
        <f t="shared" si="18"/>
        <v>146410.00000000006</v>
      </c>
      <c r="H62" s="7">
        <f t="shared" si="2"/>
        <v>57</v>
      </c>
      <c r="I62" s="3">
        <f t="shared" si="3"/>
        <v>122102</v>
      </c>
      <c r="J62" s="3">
        <f>+F62</f>
        <v>146410.00000000006</v>
      </c>
      <c r="T62" s="3">
        <f>+I62-J62</f>
        <v>-24308.000000000058</v>
      </c>
      <c r="U62" s="3">
        <f>+T62+U61</f>
        <v>72923.999999999476</v>
      </c>
      <c r="V62" s="3">
        <f t="shared" si="7"/>
        <v>21877.199999999841</v>
      </c>
    </row>
    <row r="63" spans="5:23" x14ac:dyDescent="0.25">
      <c r="E63" s="7">
        <f t="shared" si="1"/>
        <v>58</v>
      </c>
      <c r="F63" s="39">
        <f t="shared" si="18"/>
        <v>146410.00000000006</v>
      </c>
      <c r="H63" s="7">
        <f t="shared" si="2"/>
        <v>58</v>
      </c>
      <c r="I63" s="3">
        <f t="shared" si="3"/>
        <v>122102</v>
      </c>
      <c r="J63" s="3">
        <f>+F63</f>
        <v>146410.00000000006</v>
      </c>
      <c r="T63" s="3">
        <f>+I63-J63</f>
        <v>-24308.000000000058</v>
      </c>
      <c r="U63" s="3">
        <f>+T63+U62</f>
        <v>48615.999999999418</v>
      </c>
      <c r="V63" s="3">
        <f t="shared" si="7"/>
        <v>14584.799999999825</v>
      </c>
    </row>
    <row r="64" spans="5:23" x14ac:dyDescent="0.25">
      <c r="E64" s="7">
        <f t="shared" si="1"/>
        <v>59</v>
      </c>
      <c r="F64" s="39">
        <f t="shared" si="18"/>
        <v>146410.00000000006</v>
      </c>
      <c r="H64" s="7">
        <f t="shared" si="2"/>
        <v>59</v>
      </c>
      <c r="I64" s="3">
        <f t="shared" si="3"/>
        <v>122102</v>
      </c>
      <c r="J64" s="3">
        <f>+F64</f>
        <v>146410.00000000006</v>
      </c>
      <c r="T64" s="3">
        <f>+I64-J64</f>
        <v>-24308.000000000058</v>
      </c>
      <c r="U64" s="3">
        <f>+T64+U63</f>
        <v>24307.99999999936</v>
      </c>
      <c r="V64" s="3">
        <f t="shared" si="7"/>
        <v>7292.3999999998077</v>
      </c>
    </row>
    <row r="65" spans="5:23" x14ac:dyDescent="0.25">
      <c r="E65" s="7">
        <f t="shared" si="1"/>
        <v>60</v>
      </c>
      <c r="F65" s="39">
        <f t="shared" si="18"/>
        <v>146410.00000000006</v>
      </c>
      <c r="H65" s="7">
        <f t="shared" si="2"/>
        <v>60</v>
      </c>
      <c r="I65" s="3">
        <f t="shared" si="3"/>
        <v>122102</v>
      </c>
      <c r="J65" s="3">
        <f>+F65</f>
        <v>146410.00000000006</v>
      </c>
      <c r="T65" s="3">
        <f>+I65-J65</f>
        <v>-24308.000000000058</v>
      </c>
      <c r="U65" s="6">
        <f>+T65+U64</f>
        <v>-6.9849193096160889E-10</v>
      </c>
      <c r="V65" s="3">
        <f t="shared" si="7"/>
        <v>-2.0954757928848265E-10</v>
      </c>
      <c r="W65" s="13">
        <f>+V65</f>
        <v>-2.0954757928848265E-10</v>
      </c>
    </row>
    <row r="66" spans="5:23" x14ac:dyDescent="0.25">
      <c r="F66" s="6">
        <f>SUM(F4:F65)</f>
        <v>7326120</v>
      </c>
      <c r="I66" s="6">
        <f>SUM(I4:I65)</f>
        <v>7326120</v>
      </c>
      <c r="J66" s="6">
        <f>SUM(J4:J65)</f>
        <v>7326120</v>
      </c>
      <c r="T66" s="6">
        <f>SUM(T4:T65)</f>
        <v>-6.9849193096160889E-10</v>
      </c>
    </row>
    <row r="67" spans="5:23" x14ac:dyDescent="0.25">
      <c r="F67" s="6">
        <f>+F66/E65</f>
        <v>122102</v>
      </c>
      <c r="J67" s="3"/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EB6D8-92E6-4F02-B822-6B0C15844DCE}">
  <dimension ref="B1:E25"/>
  <sheetViews>
    <sheetView zoomScale="175" zoomScaleNormal="175" workbookViewId="0">
      <selection activeCell="F13" sqref="F13"/>
    </sheetView>
  </sheetViews>
  <sheetFormatPr baseColWidth="10" defaultRowHeight="15" x14ac:dyDescent="0.25"/>
  <cols>
    <col min="1" max="1" width="5.85546875" customWidth="1"/>
  </cols>
  <sheetData>
    <row r="1" spans="2:5" s="84" customFormat="1" ht="15.75" thickBot="1" x14ac:dyDescent="0.3"/>
    <row r="2" spans="2:5" s="84" customFormat="1" x14ac:dyDescent="0.25">
      <c r="B2" s="68" t="s">
        <v>62</v>
      </c>
      <c r="C2" s="69"/>
      <c r="D2" s="69"/>
      <c r="E2" s="70"/>
    </row>
    <row r="3" spans="2:5" s="84" customFormat="1" x14ac:dyDescent="0.25">
      <c r="B3" s="71" t="s">
        <v>63</v>
      </c>
      <c r="C3" s="72"/>
      <c r="D3" s="72"/>
      <c r="E3" s="73"/>
    </row>
    <row r="4" spans="2:5" s="84" customFormat="1" x14ac:dyDescent="0.25">
      <c r="B4" s="74"/>
      <c r="C4" s="75"/>
      <c r="D4" s="75"/>
      <c r="E4" s="76"/>
    </row>
    <row r="5" spans="2:5" s="84" customFormat="1" x14ac:dyDescent="0.25">
      <c r="B5" s="74"/>
      <c r="C5" s="75"/>
      <c r="D5" s="75"/>
      <c r="E5" s="76"/>
    </row>
    <row r="6" spans="2:5" s="84" customFormat="1" x14ac:dyDescent="0.25">
      <c r="B6" s="74"/>
      <c r="C6" s="75"/>
      <c r="D6" s="75"/>
      <c r="E6" s="76"/>
    </row>
    <row r="7" spans="2:5" s="84" customFormat="1" x14ac:dyDescent="0.25">
      <c r="B7" s="74"/>
      <c r="C7" s="75"/>
      <c r="D7" s="75"/>
      <c r="E7" s="76"/>
    </row>
    <row r="8" spans="2:5" s="84" customFormat="1" x14ac:dyDescent="0.25">
      <c r="B8" s="74"/>
      <c r="C8" s="75"/>
      <c r="D8" s="75"/>
      <c r="E8" s="76"/>
    </row>
    <row r="9" spans="2:5" s="84" customFormat="1" x14ac:dyDescent="0.25">
      <c r="B9" s="74"/>
      <c r="C9" s="75"/>
      <c r="D9" s="75"/>
      <c r="E9" s="76"/>
    </row>
    <row r="10" spans="2:5" s="84" customFormat="1" x14ac:dyDescent="0.25">
      <c r="B10" s="74"/>
      <c r="C10" s="75"/>
      <c r="D10" s="75"/>
      <c r="E10" s="76"/>
    </row>
    <row r="11" spans="2:5" s="84" customFormat="1" x14ac:dyDescent="0.25">
      <c r="B11" s="74"/>
      <c r="C11" s="75"/>
      <c r="D11" s="75"/>
      <c r="E11" s="76"/>
    </row>
    <row r="12" spans="2:5" s="84" customFormat="1" x14ac:dyDescent="0.25">
      <c r="B12" s="74"/>
      <c r="C12" s="75"/>
      <c r="D12" s="75"/>
      <c r="E12" s="76"/>
    </row>
    <row r="13" spans="2:5" s="84" customFormat="1" x14ac:dyDescent="0.25">
      <c r="B13" s="74"/>
      <c r="C13" s="75"/>
      <c r="D13" s="75"/>
      <c r="E13" s="76"/>
    </row>
    <row r="14" spans="2:5" s="84" customFormat="1" x14ac:dyDescent="0.25">
      <c r="B14" s="74"/>
      <c r="C14" s="75"/>
      <c r="D14" s="75"/>
      <c r="E14" s="76"/>
    </row>
    <row r="15" spans="2:5" s="84" customFormat="1" x14ac:dyDescent="0.25">
      <c r="B15" s="74"/>
      <c r="C15" s="75"/>
      <c r="D15" s="75"/>
      <c r="E15" s="76"/>
    </row>
    <row r="16" spans="2:5" s="84" customFormat="1" x14ac:dyDescent="0.25">
      <c r="B16" s="74"/>
      <c r="C16" s="75"/>
      <c r="D16" s="75"/>
      <c r="E16" s="76"/>
    </row>
    <row r="17" spans="2:5" s="84" customFormat="1" ht="15.75" thickBot="1" x14ac:dyDescent="0.3">
      <c r="B17" s="77"/>
      <c r="C17" s="78"/>
      <c r="D17" s="78"/>
      <c r="E17" s="79"/>
    </row>
    <row r="18" spans="2:5" s="84" customFormat="1" x14ac:dyDescent="0.25"/>
    <row r="19" spans="2:5" s="84" customFormat="1" x14ac:dyDescent="0.25"/>
    <row r="20" spans="2:5" s="84" customFormat="1" x14ac:dyDescent="0.25"/>
    <row r="21" spans="2:5" s="84" customFormat="1" x14ac:dyDescent="0.25"/>
    <row r="22" spans="2:5" s="84" customFormat="1" x14ac:dyDescent="0.25"/>
    <row r="23" spans="2:5" s="84" customFormat="1" x14ac:dyDescent="0.25"/>
    <row r="24" spans="2:5" s="84" customFormat="1" x14ac:dyDescent="0.25"/>
    <row r="25" spans="2:5" s="84" customForma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Hoja1 (2)</vt:lpstr>
      <vt:lpstr>Hoja1 (3)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2024-06-04T04:31:46Z</dcterms:created>
  <dcterms:modified xsi:type="dcterms:W3CDTF">2024-06-19T05:22:20Z</dcterms:modified>
</cp:coreProperties>
</file>