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Lives\"/>
    </mc:Choice>
  </mc:AlternateContent>
  <xr:revisionPtr revIDLastSave="0" documentId="13_ncr:1_{A27257E0-1940-4A17-B515-9E32C9EAF1D4}" xr6:coauthVersionLast="47" xr6:coauthVersionMax="47" xr10:uidLastSave="{00000000-0000-0000-0000-000000000000}"/>
  <bookViews>
    <workbookView xWindow="-120" yWindow="-120" windowWidth="29040" windowHeight="15720" xr2:uid="{CDEA120C-6D15-44E2-A608-7B492B1D835E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3" i="1" l="1"/>
  <c r="G242" i="1"/>
  <c r="G241" i="1"/>
  <c r="G252" i="1"/>
  <c r="G251" i="1"/>
  <c r="G250" i="1"/>
  <c r="J218" i="1"/>
  <c r="J217" i="1"/>
  <c r="J219" i="1" s="1"/>
  <c r="I202" i="1"/>
  <c r="I203" i="1" s="1"/>
  <c r="J172" i="1"/>
  <c r="J173" i="1" s="1"/>
  <c r="J174" i="1" s="1"/>
  <c r="I174" i="1"/>
  <c r="E189" i="1"/>
  <c r="F190" i="1" s="1"/>
  <c r="E184" i="1"/>
  <c r="I173" i="1" s="1"/>
  <c r="E179" i="1"/>
  <c r="I172" i="1" s="1"/>
  <c r="F175" i="1"/>
  <c r="J121" i="1"/>
  <c r="I153" i="1"/>
  <c r="H153" i="1"/>
  <c r="G153" i="1"/>
  <c r="F153" i="1"/>
  <c r="I152" i="1"/>
  <c r="H152" i="1"/>
  <c r="G152" i="1"/>
  <c r="F152" i="1"/>
  <c r="E153" i="1"/>
  <c r="E152" i="1"/>
  <c r="F144" i="1"/>
  <c r="F145" i="1" s="1"/>
  <c r="F146" i="1" s="1"/>
  <c r="F147" i="1" s="1"/>
  <c r="F148" i="1" s="1"/>
  <c r="D138" i="1"/>
  <c r="D140" i="1" s="1"/>
  <c r="D144" i="1" s="1"/>
  <c r="F86" i="1"/>
  <c r="G86" i="1" s="1"/>
  <c r="F85" i="1"/>
  <c r="G85" i="1" s="1"/>
  <c r="E90" i="1"/>
  <c r="G87" i="1"/>
  <c r="F87" i="1"/>
  <c r="E87" i="1"/>
  <c r="E88" i="1" s="1"/>
  <c r="K64" i="1"/>
  <c r="K63" i="1"/>
  <c r="K62" i="1"/>
  <c r="J79" i="1"/>
  <c r="J74" i="1"/>
  <c r="K75" i="1" s="1"/>
  <c r="F91" i="1" s="1"/>
  <c r="J69" i="1"/>
  <c r="L69" i="1" s="1"/>
  <c r="K32" i="1"/>
  <c r="E28" i="1"/>
  <c r="F29" i="1" s="1"/>
  <c r="E24" i="1"/>
  <c r="F25" i="1" s="1"/>
  <c r="G44" i="1" s="1"/>
  <c r="K7" i="1"/>
  <c r="K8" i="1" s="1"/>
  <c r="E19" i="1"/>
  <c r="F20" i="1" s="1"/>
  <c r="F44" i="1" s="1"/>
  <c r="E14" i="1"/>
  <c r="J7" i="1" s="1"/>
  <c r="F10" i="1"/>
  <c r="G256" i="1" l="1"/>
  <c r="G221" i="1"/>
  <c r="G247" i="1"/>
  <c r="G255" i="1" s="1"/>
  <c r="K172" i="1"/>
  <c r="L172" i="1" s="1"/>
  <c r="K174" i="1"/>
  <c r="L174" i="1" s="1"/>
  <c r="G200" i="1"/>
  <c r="K173" i="1"/>
  <c r="L173" i="1" s="1"/>
  <c r="J189" i="1"/>
  <c r="K190" i="1" s="1"/>
  <c r="H140" i="1"/>
  <c r="G220" i="1" s="1"/>
  <c r="F180" i="1"/>
  <c r="J179" i="1"/>
  <c r="J184" i="1"/>
  <c r="K185" i="1" s="1"/>
  <c r="F185" i="1"/>
  <c r="E154" i="1"/>
  <c r="E156" i="1" s="1"/>
  <c r="E157" i="1" s="1"/>
  <c r="E120" i="1" s="1"/>
  <c r="E144" i="1"/>
  <c r="E116" i="1" s="1"/>
  <c r="E115" i="1"/>
  <c r="E141" i="1"/>
  <c r="G90" i="1"/>
  <c r="F90" i="1"/>
  <c r="G88" i="1"/>
  <c r="F88" i="1"/>
  <c r="F15" i="1"/>
  <c r="E44" i="1" s="1"/>
  <c r="L74" i="1"/>
  <c r="L79" i="1" s="1"/>
  <c r="F75" i="1"/>
  <c r="F80" i="1"/>
  <c r="K70" i="1"/>
  <c r="K80" i="1"/>
  <c r="G91" i="1" s="1"/>
  <c r="F70" i="1"/>
  <c r="J8" i="1"/>
  <c r="L8" i="1" s="1"/>
  <c r="M8" i="1" s="1"/>
  <c r="K31" i="1"/>
  <c r="K33" i="1" s="1"/>
  <c r="K34" i="1" s="1"/>
  <c r="K37" i="1" s="1"/>
  <c r="J36" i="1" s="1"/>
  <c r="G47" i="1" s="1"/>
  <c r="J24" i="1"/>
  <c r="L7" i="1"/>
  <c r="M7" i="1" s="1"/>
  <c r="J14" i="1"/>
  <c r="E48" i="1" s="1"/>
  <c r="J19" i="1"/>
  <c r="K20" i="1" s="1"/>
  <c r="G257" i="1" l="1"/>
  <c r="K180" i="1"/>
  <c r="L179" i="1"/>
  <c r="L184" i="1" s="1"/>
  <c r="L189" i="1" s="1"/>
  <c r="H144" i="1"/>
  <c r="H145" i="1" s="1"/>
  <c r="H146" i="1" s="1"/>
  <c r="H147" i="1" s="1"/>
  <c r="H148" i="1" s="1"/>
  <c r="G199" i="1"/>
  <c r="G144" i="1"/>
  <c r="F154" i="1"/>
  <c r="F156" i="1" s="1"/>
  <c r="F157" i="1" s="1"/>
  <c r="F120" i="1" s="1"/>
  <c r="E160" i="1"/>
  <c r="E161" i="1" s="1"/>
  <c r="E118" i="1"/>
  <c r="F115" i="1"/>
  <c r="E91" i="1"/>
  <c r="E94" i="1" s="1"/>
  <c r="F94" i="1"/>
  <c r="G94" i="1"/>
  <c r="G92" i="1"/>
  <c r="G93" i="1" s="1"/>
  <c r="F92" i="1"/>
  <c r="F93" i="1" s="1"/>
  <c r="J64" i="1"/>
  <c r="L64" i="1" s="1"/>
  <c r="M64" i="1" s="1"/>
  <c r="J63" i="1"/>
  <c r="L63" i="1" s="1"/>
  <c r="M63" i="1" s="1"/>
  <c r="J62" i="1"/>
  <c r="L62" i="1" s="1"/>
  <c r="M62" i="1" s="1"/>
  <c r="K25" i="1"/>
  <c r="F48" i="1"/>
  <c r="F50" i="1" s="1"/>
  <c r="F51" i="1" s="1"/>
  <c r="K15" i="1"/>
  <c r="E50" i="1"/>
  <c r="E51" i="1" s="1"/>
  <c r="I144" i="1" l="1"/>
  <c r="H105" i="1" s="1"/>
  <c r="J105" i="1" s="1"/>
  <c r="K105" i="1" s="1"/>
  <c r="D145" i="1"/>
  <c r="E145" i="1" s="1"/>
  <c r="G154" i="1"/>
  <c r="G156" i="1" s="1"/>
  <c r="G157" i="1" s="1"/>
  <c r="G120" i="1" s="1"/>
  <c r="E124" i="1"/>
  <c r="E122" i="1"/>
  <c r="G115" i="1"/>
  <c r="E92" i="1"/>
  <c r="E93" i="1" s="1"/>
  <c r="J28" i="1"/>
  <c r="K29" i="1" s="1"/>
  <c r="G48" i="1" s="1"/>
  <c r="G50" i="1" s="1"/>
  <c r="G51" i="1" s="1"/>
  <c r="F116" i="1" l="1"/>
  <c r="F160" i="1" s="1"/>
  <c r="F161" i="1" s="1"/>
  <c r="G198" i="1"/>
  <c r="G145" i="1"/>
  <c r="I145" i="1" s="1"/>
  <c r="H106" i="1" s="1"/>
  <c r="J106" i="1" s="1"/>
  <c r="K106" i="1" s="1"/>
  <c r="L106" i="1" s="1"/>
  <c r="H154" i="1"/>
  <c r="H156" i="1" s="1"/>
  <c r="H157" i="1" s="1"/>
  <c r="H120" i="1" s="1"/>
  <c r="E123" i="1"/>
  <c r="I154" i="1"/>
  <c r="H115" i="1"/>
  <c r="F118" i="1" l="1"/>
  <c r="F122" i="1" s="1"/>
  <c r="F123" i="1" s="1"/>
  <c r="G204" i="1"/>
  <c r="G206" i="1" s="1"/>
  <c r="G207" i="1"/>
  <c r="D146" i="1"/>
  <c r="E146" i="1" s="1"/>
  <c r="I156" i="1"/>
  <c r="I157" i="1" s="1"/>
  <c r="I120" i="1" s="1"/>
  <c r="I115" i="1"/>
  <c r="G116" i="1" l="1"/>
  <c r="G118" i="1" s="1"/>
  <c r="G124" i="1" s="1"/>
  <c r="G219" i="1"/>
  <c r="F124" i="1"/>
  <c r="G208" i="1"/>
  <c r="G209" i="1" s="1"/>
  <c r="G146" i="1"/>
  <c r="D147" i="1" s="1"/>
  <c r="G160" i="1" l="1"/>
  <c r="G161" i="1" s="1"/>
  <c r="G122" i="1"/>
  <c r="G123" i="1" s="1"/>
  <c r="G228" i="1"/>
  <c r="G225" i="1"/>
  <c r="G227" i="1" s="1"/>
  <c r="G229" i="1" s="1"/>
  <c r="G230" i="1" s="1"/>
  <c r="I146" i="1"/>
  <c r="H107" i="1" s="1"/>
  <c r="J107" i="1" s="1"/>
  <c r="K107" i="1" s="1"/>
  <c r="E147" i="1"/>
  <c r="H116" i="1" s="1"/>
  <c r="G147" i="1" l="1"/>
  <c r="I147" i="1" s="1"/>
  <c r="H108" i="1" s="1"/>
  <c r="J108" i="1" s="1"/>
  <c r="K108" i="1" s="1"/>
  <c r="H160" i="1"/>
  <c r="H161" i="1" s="1"/>
  <c r="H118" i="1"/>
  <c r="D148" i="1" l="1"/>
  <c r="E148" i="1" s="1"/>
  <c r="I116" i="1" s="1"/>
  <c r="H122" i="1"/>
  <c r="H123" i="1" s="1"/>
  <c r="H124" i="1"/>
  <c r="G148" i="1" l="1"/>
  <c r="I148" i="1" s="1"/>
  <c r="H109" i="1" s="1"/>
  <c r="J109" i="1" s="1"/>
  <c r="K109" i="1" s="1"/>
  <c r="I118" i="1"/>
  <c r="I160" i="1"/>
  <c r="I161" i="1" s="1"/>
  <c r="I124" i="1" l="1"/>
  <c r="I122" i="1"/>
  <c r="I123" i="1" s="1"/>
</calcChain>
</file>

<file path=xl/sharedStrings.xml><?xml version="1.0" encoding="utf-8"?>
<sst xmlns="http://schemas.openxmlformats.org/spreadsheetml/2006/main" count="286" uniqueCount="107">
  <si>
    <t>NIC 12 IMPUESTOS DIFERIDOS</t>
  </si>
  <si>
    <t>EL PIZARRON DEL PROFESOR FREDDY</t>
  </si>
  <si>
    <t>Qué es el impuesto a la renta diferido?</t>
  </si>
  <si>
    <t>Es el impuesto a la renta de las estimaciones contables.</t>
  </si>
  <si>
    <t>Tasa impositiva</t>
  </si>
  <si>
    <t>Inversiones en la bolsa</t>
  </si>
  <si>
    <t>Efectivo</t>
  </si>
  <si>
    <t>D</t>
  </si>
  <si>
    <t>H</t>
  </si>
  <si>
    <t>Al 19-06-2025</t>
  </si>
  <si>
    <t>Al 31-12-2025</t>
  </si>
  <si>
    <t>La cotizacion</t>
  </si>
  <si>
    <t>Ganancia por M VR</t>
  </si>
  <si>
    <t>Gasto IR</t>
  </si>
  <si>
    <t>Pasivo IR Diferido</t>
  </si>
  <si>
    <t>Al 31-12-2026</t>
  </si>
  <si>
    <t>Año 2025</t>
  </si>
  <si>
    <t>Año 2026</t>
  </si>
  <si>
    <t>V.LIBROS</t>
  </si>
  <si>
    <t>BFISCAL</t>
  </si>
  <si>
    <t>DTEMP</t>
  </si>
  <si>
    <t>PIRD</t>
  </si>
  <si>
    <t>METODO DE LA CONSTRUCCION SIMULTANEA</t>
  </si>
  <si>
    <t>Al 31-12-2027</t>
  </si>
  <si>
    <t>Ingreso IR</t>
  </si>
  <si>
    <t>Ingreso</t>
  </si>
  <si>
    <t>Costo de compra</t>
  </si>
  <si>
    <t>Ganancia</t>
  </si>
  <si>
    <t>Impuesto</t>
  </si>
  <si>
    <t>Impuesto por pagar</t>
  </si>
  <si>
    <t>Gasto IRC</t>
  </si>
  <si>
    <t>CUALES SON LOS IMPACTOS EN EL ESTADO D RESULTADOS</t>
  </si>
  <si>
    <t>AÑO 1</t>
  </si>
  <si>
    <t>AÑO 2</t>
  </si>
  <si>
    <t>AÑO 3</t>
  </si>
  <si>
    <t>AÑO 4</t>
  </si>
  <si>
    <t>AÑO 5</t>
  </si>
  <si>
    <t>GANANCIA DE VR</t>
  </si>
  <si>
    <t>IMPUESTO</t>
  </si>
  <si>
    <t>CORRIENTE</t>
  </si>
  <si>
    <t>DIFERIDO</t>
  </si>
  <si>
    <t>UTILIDAD NETA</t>
  </si>
  <si>
    <t>SI LA ADM TRIBUTARIA</t>
  </si>
  <si>
    <t>ACCIONISTAS</t>
  </si>
  <si>
    <t>LO Q LOGRAMOS</t>
  </si>
  <si>
    <t>Año 2027</t>
  </si>
  <si>
    <t>AIRD</t>
  </si>
  <si>
    <t>INVENTARIOS</t>
  </si>
  <si>
    <t>(COSTO)</t>
  </si>
  <si>
    <t>NIC2: PRUEBA DE VNR</t>
  </si>
  <si>
    <t>COST VS VNR</t>
  </si>
  <si>
    <t>Pérdida por VNR</t>
  </si>
  <si>
    <t>Deterioro acumulado Inv</t>
  </si>
  <si>
    <t>Ganancia IRD</t>
  </si>
  <si>
    <t>Activo IRD</t>
  </si>
  <si>
    <t>MET DEL BALANCE</t>
  </si>
  <si>
    <t>VENTAS</t>
  </si>
  <si>
    <t>COSTO DE VENTAS</t>
  </si>
  <si>
    <t>DETERIOROS</t>
  </si>
  <si>
    <t>UTILIDAD ANTES DE IMP</t>
  </si>
  <si>
    <t>COSTO TRIBUTARIO</t>
  </si>
  <si>
    <t>CONTRATO DE ARRENDAMIENTO OPERATIVO</t>
  </si>
  <si>
    <t>PLAZO</t>
  </si>
  <si>
    <t>AÑOS</t>
  </si>
  <si>
    <t>TASA</t>
  </si>
  <si>
    <t>PAGO</t>
  </si>
  <si>
    <t>ADU</t>
  </si>
  <si>
    <t>ACTIVO DU</t>
  </si>
  <si>
    <t>PASIVO</t>
  </si>
  <si>
    <t>S INICIAL</t>
  </si>
  <si>
    <t>GFIN</t>
  </si>
  <si>
    <t>PAGO|</t>
  </si>
  <si>
    <t>SFINAL</t>
  </si>
  <si>
    <t>DEPRECIACION ADU</t>
  </si>
  <si>
    <t>GASTO FIN ARRENDA</t>
  </si>
  <si>
    <t>PAGOS DE ARRENDAMIENTO</t>
  </si>
  <si>
    <t>VISION TRIUTARIA</t>
  </si>
  <si>
    <t>IMPUESTO POR PAGAR</t>
  </si>
  <si>
    <t>PARA EL ACCIONISTA</t>
  </si>
  <si>
    <t>Año 2028</t>
  </si>
  <si>
    <t>Año 2029</t>
  </si>
  <si>
    <t>Pasivo</t>
  </si>
  <si>
    <t>Activo</t>
  </si>
  <si>
    <t>Estimacion</t>
  </si>
  <si>
    <t>Neta</t>
  </si>
  <si>
    <t>Inversion inmobiliaria</t>
  </si>
  <si>
    <t>UTILIDAD ANTES DE IMPUESTOS</t>
  </si>
  <si>
    <t>(+) GASTO FINANCIERO</t>
  </si>
  <si>
    <t>(+) GASTO DEPRECIACION</t>
  </si>
  <si>
    <t>(-) PAGO DE ARRENDAMIENTO</t>
  </si>
  <si>
    <t>UTILIDAD TRIBUTARIA</t>
  </si>
  <si>
    <t>CONCILIACION TRIBUTARIA</t>
  </si>
  <si>
    <t>Impuesto corriente</t>
  </si>
  <si>
    <t>Impuesto diferido</t>
  </si>
  <si>
    <t>efecto combinado del IR</t>
  </si>
  <si>
    <t>tasa efectivo</t>
  </si>
  <si>
    <t>MULTAS Y SANCIONES</t>
  </si>
  <si>
    <t>DIF Temporales</t>
  </si>
  <si>
    <t>mayor pago S/</t>
  </si>
  <si>
    <t>mayor pago %</t>
  </si>
  <si>
    <t>UAI</t>
  </si>
  <si>
    <t>IRC+IRD</t>
  </si>
  <si>
    <t>UTILIDAD</t>
  </si>
  <si>
    <t>DIFERENCIAS TEMPORALES</t>
  </si>
  <si>
    <t>IMP A LA RENTA (C+D)</t>
  </si>
  <si>
    <t>IMPUESTO CORRIENTE</t>
  </si>
  <si>
    <t>IMPUESTO DIFERIDO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</si>
</sst>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20"/>
      <color rgb="FFFFC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theme="0" tint="-4.9989318521683403E-2"/>
      </left>
      <right/>
      <top style="thick">
        <color theme="0" tint="-4.9989318521683403E-2"/>
      </top>
      <bottom/>
      <diagonal/>
    </border>
    <border>
      <left/>
      <right/>
      <top style="thick">
        <color theme="0" tint="-4.9989318521683403E-2"/>
      </top>
      <bottom/>
      <diagonal/>
    </border>
    <border>
      <left/>
      <right style="thick">
        <color theme="0" tint="-4.9989318521683403E-2"/>
      </right>
      <top style="thick">
        <color theme="0" tint="-4.9989318521683403E-2"/>
      </top>
      <bottom/>
      <diagonal/>
    </border>
    <border>
      <left style="thick">
        <color theme="0" tint="-4.9989318521683403E-2"/>
      </left>
      <right/>
      <top/>
      <bottom style="thick">
        <color theme="0" tint="-4.9989318521683403E-2"/>
      </bottom>
      <diagonal/>
    </border>
    <border>
      <left/>
      <right/>
      <top/>
      <bottom style="thick">
        <color theme="0" tint="-4.9989318521683403E-2"/>
      </bottom>
      <diagonal/>
    </border>
    <border>
      <left/>
      <right style="thick">
        <color theme="0" tint="-4.9989318521683403E-2"/>
      </right>
      <top/>
      <bottom style="thick">
        <color theme="0" tint="-4.9989318521683403E-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4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3" fillId="0" borderId="0" xfId="0" applyFont="1"/>
    <xf numFmtId="9" fontId="3" fillId="2" borderId="0" xfId="0" applyNumberFormat="1" applyFont="1" applyFill="1"/>
    <xf numFmtId="0" fontId="5" fillId="2" borderId="0" xfId="0" applyFont="1" applyFill="1"/>
    <xf numFmtId="9" fontId="5" fillId="2" borderId="0" xfId="0" applyNumberFormat="1" applyFont="1" applyFill="1"/>
    <xf numFmtId="3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3" fillId="3" borderId="0" xfId="0" applyFont="1" applyFill="1"/>
    <xf numFmtId="0" fontId="7" fillId="3" borderId="0" xfId="0" applyFont="1" applyFill="1"/>
    <xf numFmtId="0" fontId="7" fillId="4" borderId="0" xfId="0" applyFont="1" applyFill="1"/>
    <xf numFmtId="3" fontId="7" fillId="4" borderId="0" xfId="0" applyNumberFormat="1" applyFont="1" applyFill="1"/>
    <xf numFmtId="3" fontId="8" fillId="4" borderId="0" xfId="0" applyNumberFormat="1" applyFont="1" applyFill="1"/>
    <xf numFmtId="3" fontId="7" fillId="5" borderId="0" xfId="0" applyNumberFormat="1" applyFont="1" applyFill="1"/>
    <xf numFmtId="0" fontId="8" fillId="4" borderId="0" xfId="0" applyFont="1" applyFill="1" applyAlignment="1">
      <alignment horizontal="center"/>
    </xf>
    <xf numFmtId="0" fontId="9" fillId="2" borderId="0" xfId="0" applyFont="1" applyFill="1"/>
    <xf numFmtId="0" fontId="3" fillId="6" borderId="0" xfId="0" applyFont="1" applyFill="1"/>
    <xf numFmtId="3" fontId="5" fillId="2" borderId="0" xfId="0" applyNumberFormat="1" applyFont="1" applyFill="1"/>
    <xf numFmtId="3" fontId="9" fillId="2" borderId="0" xfId="0" applyNumberFormat="1" applyFont="1" applyFill="1"/>
    <xf numFmtId="10" fontId="5" fillId="2" borderId="0" xfId="0" applyNumberFormat="1" applyFont="1" applyFill="1"/>
    <xf numFmtId="10" fontId="11" fillId="2" borderId="0" xfId="0" applyNumberFormat="1" applyFont="1" applyFill="1"/>
    <xf numFmtId="0" fontId="8" fillId="4" borderId="0" xfId="0" applyFont="1" applyFill="1" applyAlignment="1">
      <alignment horizontal="left"/>
    </xf>
    <xf numFmtId="3" fontId="12" fillId="4" borderId="0" xfId="0" applyNumberFormat="1" applyFont="1" applyFill="1"/>
    <xf numFmtId="0" fontId="8" fillId="3" borderId="0" xfId="0" applyFont="1" applyFill="1"/>
    <xf numFmtId="3" fontId="8" fillId="4" borderId="0" xfId="0" applyNumberFormat="1" applyFont="1" applyFill="1" applyAlignment="1">
      <alignment horizontal="center"/>
    </xf>
    <xf numFmtId="3" fontId="8" fillId="5" borderId="0" xfId="0" applyNumberFormat="1" applyFont="1" applyFill="1"/>
    <xf numFmtId="0" fontId="6" fillId="5" borderId="0" xfId="0" applyFont="1" applyFill="1"/>
    <xf numFmtId="3" fontId="6" fillId="5" borderId="0" xfId="0" applyNumberFormat="1" applyFont="1" applyFill="1"/>
    <xf numFmtId="0" fontId="13" fillId="5" borderId="0" xfId="0" applyFont="1" applyFill="1"/>
    <xf numFmtId="3" fontId="13" fillId="5" borderId="0" xfId="0" applyNumberFormat="1" applyFont="1" applyFill="1"/>
    <xf numFmtId="0" fontId="12" fillId="7" borderId="0" xfId="0" applyFont="1" applyFill="1"/>
    <xf numFmtId="9" fontId="12" fillId="7" borderId="0" xfId="0" applyNumberFormat="1" applyFont="1" applyFill="1"/>
    <xf numFmtId="0" fontId="3" fillId="8" borderId="0" xfId="0" applyFont="1" applyFill="1"/>
    <xf numFmtId="0" fontId="3" fillId="8" borderId="0" xfId="0" applyFont="1" applyFill="1" applyAlignment="1">
      <alignment horizontal="center"/>
    </xf>
    <xf numFmtId="3" fontId="12" fillId="5" borderId="0" xfId="0" applyNumberFormat="1" applyFont="1" applyFill="1"/>
    <xf numFmtId="164" fontId="3" fillId="2" borderId="0" xfId="1" applyNumberFormat="1" applyFont="1" applyFill="1"/>
    <xf numFmtId="164" fontId="9" fillId="2" borderId="0" xfId="1" applyNumberFormat="1" applyFont="1" applyFill="1"/>
    <xf numFmtId="3" fontId="3" fillId="8" borderId="0" xfId="0" applyNumberFormat="1" applyFont="1" applyFill="1"/>
    <xf numFmtId="3" fontId="6" fillId="8" borderId="0" xfId="0" applyNumberFormat="1" applyFont="1" applyFill="1"/>
    <xf numFmtId="0" fontId="5" fillId="2" borderId="0" xfId="0" applyFont="1" applyFill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3" fillId="2" borderId="4" xfId="0" applyFont="1" applyFill="1" applyBorder="1"/>
    <xf numFmtId="0" fontId="14" fillId="8" borderId="1" xfId="0" applyFont="1" applyFill="1" applyBorder="1"/>
    <xf numFmtId="0" fontId="14" fillId="8" borderId="2" xfId="0" applyFont="1" applyFill="1" applyBorder="1"/>
    <xf numFmtId="0" fontId="14" fillId="8" borderId="13" xfId="0" applyFont="1" applyFill="1" applyBorder="1"/>
    <xf numFmtId="0" fontId="14" fillId="8" borderId="0" xfId="0" applyFont="1" applyFill="1"/>
    <xf numFmtId="0" fontId="14" fillId="8" borderId="5" xfId="0" applyFont="1" applyFill="1" applyBorder="1"/>
    <xf numFmtId="9" fontId="14" fillId="8" borderId="2" xfId="0" applyNumberFormat="1" applyFont="1" applyFill="1" applyBorder="1"/>
    <xf numFmtId="164" fontId="15" fillId="8" borderId="3" xfId="1" applyNumberFormat="1" applyFont="1" applyFill="1" applyBorder="1"/>
    <xf numFmtId="9" fontId="14" fillId="8" borderId="0" xfId="0" applyNumberFormat="1" applyFont="1" applyFill="1"/>
    <xf numFmtId="164" fontId="15" fillId="8" borderId="6" xfId="0" applyNumberFormat="1" applyFont="1" applyFill="1" applyBorder="1"/>
    <xf numFmtId="0" fontId="15" fillId="8" borderId="4" xfId="0" applyFont="1" applyFill="1" applyBorder="1"/>
    <xf numFmtId="0" fontId="5" fillId="8" borderId="0" xfId="0" applyFont="1" applyFill="1" applyAlignment="1">
      <alignment horizontal="center"/>
    </xf>
    <xf numFmtId="164" fontId="15" fillId="8" borderId="14" xfId="1" applyNumberFormat="1" applyFont="1" applyFill="1" applyBorder="1"/>
    <xf numFmtId="10" fontId="16" fillId="8" borderId="6" xfId="2" applyNumberFormat="1" applyFont="1" applyFill="1" applyBorder="1"/>
    <xf numFmtId="3" fontId="3" fillId="2" borderId="3" xfId="0" applyNumberFormat="1" applyFont="1" applyFill="1" applyBorder="1"/>
    <xf numFmtId="165" fontId="5" fillId="2" borderId="6" xfId="2" applyNumberFormat="1" applyFont="1" applyFill="1" applyBorder="1"/>
    <xf numFmtId="3" fontId="14" fillId="7" borderId="0" xfId="0" applyNumberFormat="1" applyFont="1" applyFill="1"/>
    <xf numFmtId="0" fontId="5" fillId="2" borderId="1" xfId="0" applyFont="1" applyFill="1" applyBorder="1"/>
    <xf numFmtId="3" fontId="5" fillId="2" borderId="3" xfId="0" applyNumberFormat="1" applyFont="1" applyFill="1" applyBorder="1"/>
    <xf numFmtId="3" fontId="5" fillId="2" borderId="14" xfId="0" applyNumberFormat="1" applyFont="1" applyFill="1" applyBorder="1"/>
    <xf numFmtId="3" fontId="5" fillId="2" borderId="6" xfId="0" applyNumberFormat="1" applyFont="1" applyFill="1" applyBorder="1"/>
    <xf numFmtId="0" fontId="15" fillId="9" borderId="1" xfId="0" applyFont="1" applyFill="1" applyBorder="1"/>
    <xf numFmtId="3" fontId="15" fillId="9" borderId="3" xfId="0" applyNumberFormat="1" applyFont="1" applyFill="1" applyBorder="1"/>
    <xf numFmtId="0" fontId="14" fillId="9" borderId="4" xfId="0" applyFont="1" applyFill="1" applyBorder="1"/>
    <xf numFmtId="3" fontId="15" fillId="9" borderId="6" xfId="0" applyNumberFormat="1" applyFont="1" applyFill="1" applyBorder="1"/>
    <xf numFmtId="0" fontId="15" fillId="9" borderId="4" xfId="0" applyFont="1" applyFill="1" applyBorder="1"/>
    <xf numFmtId="0" fontId="14" fillId="9" borderId="5" xfId="0" applyFont="1" applyFill="1" applyBorder="1"/>
    <xf numFmtId="164" fontId="15" fillId="9" borderId="6" xfId="0" applyNumberFormat="1" applyFont="1" applyFill="1" applyBorder="1"/>
    <xf numFmtId="0" fontId="5" fillId="8" borderId="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3" xfId="0" applyFont="1" applyFill="1" applyBorder="1"/>
    <xf numFmtId="0" fontId="9" fillId="2" borderId="13" xfId="0" applyFont="1" applyFill="1" applyBorder="1"/>
    <xf numFmtId="3" fontId="14" fillId="7" borderId="14" xfId="0" applyNumberFormat="1" applyFont="1" applyFill="1" applyBorder="1"/>
    <xf numFmtId="3" fontId="3" fillId="2" borderId="14" xfId="0" applyNumberFormat="1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14" fillId="9" borderId="0" xfId="0" applyFont="1" applyFill="1"/>
    <xf numFmtId="3" fontId="15" fillId="9" borderId="0" xfId="0" applyNumberFormat="1" applyFont="1" applyFill="1"/>
    <xf numFmtId="0" fontId="5" fillId="2" borderId="2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944561</xdr:colOff>
      <xdr:row>13</xdr:row>
      <xdr:rowOff>97894</xdr:rowOff>
    </xdr:from>
    <xdr:to>
      <xdr:col>6</xdr:col>
      <xdr:colOff>582082</xdr:colOff>
      <xdr:row>14</xdr:row>
      <xdr:rowOff>235479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A3D88AE9-80DB-8E0D-6F5F-D7BB2D751AF8}"/>
            </a:ext>
          </a:extLst>
        </xdr:cNvPr>
        <xdr:cNvSpPr/>
      </xdr:nvSpPr>
      <xdr:spPr>
        <a:xfrm>
          <a:off x="4968874" y="4967550"/>
          <a:ext cx="613833" cy="470960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6</xdr:col>
      <xdr:colOff>31749</xdr:colOff>
      <xdr:row>18</xdr:row>
      <xdr:rowOff>63498</xdr:rowOff>
    </xdr:from>
    <xdr:to>
      <xdr:col>6</xdr:col>
      <xdr:colOff>645582</xdr:colOff>
      <xdr:row>19</xdr:row>
      <xdr:rowOff>201083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2166D98C-6DE7-4876-A700-3D3311FF8198}"/>
            </a:ext>
          </a:extLst>
        </xdr:cNvPr>
        <xdr:cNvSpPr/>
      </xdr:nvSpPr>
      <xdr:spPr>
        <a:xfrm>
          <a:off x="5027082" y="6688665"/>
          <a:ext cx="613833" cy="476251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6</xdr:col>
      <xdr:colOff>31749</xdr:colOff>
      <xdr:row>23</xdr:row>
      <xdr:rowOff>63498</xdr:rowOff>
    </xdr:from>
    <xdr:to>
      <xdr:col>6</xdr:col>
      <xdr:colOff>645582</xdr:colOff>
      <xdr:row>24</xdr:row>
      <xdr:rowOff>201083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E1CF370B-6C84-4537-BA5E-D2173A886B3D}"/>
            </a:ext>
          </a:extLst>
        </xdr:cNvPr>
        <xdr:cNvSpPr/>
      </xdr:nvSpPr>
      <xdr:spPr>
        <a:xfrm>
          <a:off x="5284106" y="6703784"/>
          <a:ext cx="613833" cy="477763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6</xdr:col>
      <xdr:colOff>31749</xdr:colOff>
      <xdr:row>27</xdr:row>
      <xdr:rowOff>63498</xdr:rowOff>
    </xdr:from>
    <xdr:to>
      <xdr:col>6</xdr:col>
      <xdr:colOff>645582</xdr:colOff>
      <xdr:row>28</xdr:row>
      <xdr:rowOff>201083</xdr:rowOff>
    </xdr:to>
    <xdr:sp macro="" textlink="">
      <xdr:nvSpPr>
        <xdr:cNvPr id="6" name="Flecha: a la derecha 5">
          <a:extLst>
            <a:ext uri="{FF2B5EF4-FFF2-40B4-BE49-F238E27FC236}">
              <a16:creationId xmlns:a16="http://schemas.microsoft.com/office/drawing/2014/main" id="{04C4E54F-A375-4242-8377-A6A94D624349}"/>
            </a:ext>
          </a:extLst>
        </xdr:cNvPr>
        <xdr:cNvSpPr/>
      </xdr:nvSpPr>
      <xdr:spPr>
        <a:xfrm>
          <a:off x="5284106" y="8404677"/>
          <a:ext cx="613833" cy="477763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6</xdr:col>
      <xdr:colOff>73704</xdr:colOff>
      <xdr:row>68</xdr:row>
      <xdr:rowOff>111502</xdr:rowOff>
    </xdr:from>
    <xdr:to>
      <xdr:col>6</xdr:col>
      <xdr:colOff>813403</xdr:colOff>
      <xdr:row>69</xdr:row>
      <xdr:rowOff>249087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ECF90A5E-7E83-4156-BCE6-C3B88FE768DC}"/>
            </a:ext>
          </a:extLst>
        </xdr:cNvPr>
        <xdr:cNvSpPr/>
      </xdr:nvSpPr>
      <xdr:spPr>
        <a:xfrm>
          <a:off x="5326061" y="23760716"/>
          <a:ext cx="739699" cy="477764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6</xdr:col>
      <xdr:colOff>31749</xdr:colOff>
      <xdr:row>73</xdr:row>
      <xdr:rowOff>63498</xdr:rowOff>
    </xdr:from>
    <xdr:to>
      <xdr:col>6</xdr:col>
      <xdr:colOff>645582</xdr:colOff>
      <xdr:row>74</xdr:row>
      <xdr:rowOff>201083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7F9BD7ED-580B-4C37-B782-BCE70D4E372C}"/>
            </a:ext>
          </a:extLst>
        </xdr:cNvPr>
        <xdr:cNvSpPr/>
      </xdr:nvSpPr>
      <xdr:spPr>
        <a:xfrm>
          <a:off x="5284106" y="6703784"/>
          <a:ext cx="613833" cy="477763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244929</xdr:colOff>
      <xdr:row>95</xdr:row>
      <xdr:rowOff>281212</xdr:rowOff>
    </xdr:from>
    <xdr:to>
      <xdr:col>6</xdr:col>
      <xdr:colOff>126999</xdr:colOff>
      <xdr:row>97</xdr:row>
      <xdr:rowOff>78619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49D570DE-91F1-4F7B-9738-B9EBD94A4B0E}"/>
            </a:ext>
          </a:extLst>
        </xdr:cNvPr>
        <xdr:cNvSpPr/>
      </xdr:nvSpPr>
      <xdr:spPr>
        <a:xfrm flipH="1">
          <a:off x="4395108" y="32775069"/>
          <a:ext cx="984248" cy="477764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6</xdr:col>
      <xdr:colOff>19275</xdr:colOff>
      <xdr:row>178</xdr:row>
      <xdr:rowOff>97894</xdr:rowOff>
    </xdr:from>
    <xdr:to>
      <xdr:col>6</xdr:col>
      <xdr:colOff>758975</xdr:colOff>
      <xdr:row>179</xdr:row>
      <xdr:rowOff>235479</xdr:rowOff>
    </xdr:to>
    <xdr:sp macro="" textlink="">
      <xdr:nvSpPr>
        <xdr:cNvPr id="16" name="Flecha: a la derecha 15">
          <a:extLst>
            <a:ext uri="{FF2B5EF4-FFF2-40B4-BE49-F238E27FC236}">
              <a16:creationId xmlns:a16="http://schemas.microsoft.com/office/drawing/2014/main" id="{810EAFA1-E83C-4D06-9335-7B6C5EDA4C2F}"/>
            </a:ext>
          </a:extLst>
        </xdr:cNvPr>
        <xdr:cNvSpPr/>
      </xdr:nvSpPr>
      <xdr:spPr>
        <a:xfrm>
          <a:off x="5911168" y="61166751"/>
          <a:ext cx="739700" cy="477764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6</xdr:col>
      <xdr:colOff>31749</xdr:colOff>
      <xdr:row>183</xdr:row>
      <xdr:rowOff>63498</xdr:rowOff>
    </xdr:from>
    <xdr:to>
      <xdr:col>6</xdr:col>
      <xdr:colOff>645582</xdr:colOff>
      <xdr:row>184</xdr:row>
      <xdr:rowOff>201083</xdr:rowOff>
    </xdr:to>
    <xdr:sp macro="" textlink="">
      <xdr:nvSpPr>
        <xdr:cNvPr id="17" name="Flecha: a la derecha 16">
          <a:extLst>
            <a:ext uri="{FF2B5EF4-FFF2-40B4-BE49-F238E27FC236}">
              <a16:creationId xmlns:a16="http://schemas.microsoft.com/office/drawing/2014/main" id="{8FE79156-32E9-4728-9FFC-BE578F79F7F5}"/>
            </a:ext>
          </a:extLst>
        </xdr:cNvPr>
        <xdr:cNvSpPr/>
      </xdr:nvSpPr>
      <xdr:spPr>
        <a:xfrm>
          <a:off x="5923642" y="6703784"/>
          <a:ext cx="613833" cy="477763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6</xdr:col>
      <xdr:colOff>31749</xdr:colOff>
      <xdr:row>188</xdr:row>
      <xdr:rowOff>63498</xdr:rowOff>
    </xdr:from>
    <xdr:to>
      <xdr:col>6</xdr:col>
      <xdr:colOff>645582</xdr:colOff>
      <xdr:row>189</xdr:row>
      <xdr:rowOff>201083</xdr:rowOff>
    </xdr:to>
    <xdr:sp macro="" textlink="">
      <xdr:nvSpPr>
        <xdr:cNvPr id="18" name="Flecha: a la derecha 17">
          <a:extLst>
            <a:ext uri="{FF2B5EF4-FFF2-40B4-BE49-F238E27FC236}">
              <a16:creationId xmlns:a16="http://schemas.microsoft.com/office/drawing/2014/main" id="{179B6D4E-B6EE-4F8E-8319-625694BE32DE}"/>
            </a:ext>
          </a:extLst>
        </xdr:cNvPr>
        <xdr:cNvSpPr/>
      </xdr:nvSpPr>
      <xdr:spPr>
        <a:xfrm>
          <a:off x="5923642" y="8404677"/>
          <a:ext cx="613833" cy="477763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7</xdr:col>
      <xdr:colOff>163286</xdr:colOff>
      <xdr:row>218</xdr:row>
      <xdr:rowOff>163285</xdr:rowOff>
    </xdr:from>
    <xdr:to>
      <xdr:col>7</xdr:col>
      <xdr:colOff>830036</xdr:colOff>
      <xdr:row>220</xdr:row>
      <xdr:rowOff>163285</xdr:rowOff>
    </xdr:to>
    <xdr:sp macro="" textlink="">
      <xdr:nvSpPr>
        <xdr:cNvPr id="20" name="Flecha: hacia la izquierda 19">
          <a:extLst>
            <a:ext uri="{FF2B5EF4-FFF2-40B4-BE49-F238E27FC236}">
              <a16:creationId xmlns:a16="http://schemas.microsoft.com/office/drawing/2014/main" id="{4259D195-54A5-60A3-8EA0-84E4A8B1465B}"/>
            </a:ext>
          </a:extLst>
        </xdr:cNvPr>
        <xdr:cNvSpPr/>
      </xdr:nvSpPr>
      <xdr:spPr>
        <a:xfrm>
          <a:off x="7892143" y="74839285"/>
          <a:ext cx="666750" cy="680357"/>
        </a:xfrm>
        <a:prstGeom prst="leftArrow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7</xdr:col>
      <xdr:colOff>952500</xdr:colOff>
      <xdr:row>252</xdr:row>
      <xdr:rowOff>54430</xdr:rowOff>
    </xdr:from>
    <xdr:to>
      <xdr:col>7</xdr:col>
      <xdr:colOff>1578428</xdr:colOff>
      <xdr:row>253</xdr:row>
      <xdr:rowOff>285751</xdr:rowOff>
    </xdr:to>
    <xdr:sp macro="" textlink="">
      <xdr:nvSpPr>
        <xdr:cNvPr id="21" name="Flecha: hacia la izquierda 20">
          <a:extLst>
            <a:ext uri="{FF2B5EF4-FFF2-40B4-BE49-F238E27FC236}">
              <a16:creationId xmlns:a16="http://schemas.microsoft.com/office/drawing/2014/main" id="{6F0B3711-1E83-307E-2E1B-EB86ECF91628}"/>
            </a:ext>
          </a:extLst>
        </xdr:cNvPr>
        <xdr:cNvSpPr/>
      </xdr:nvSpPr>
      <xdr:spPr>
        <a:xfrm>
          <a:off x="8681357" y="86296501"/>
          <a:ext cx="625928" cy="5715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161925</xdr:rowOff>
    </xdr:from>
    <xdr:to>
      <xdr:col>7</xdr:col>
      <xdr:colOff>333375</xdr:colOff>
      <xdr:row>32</xdr:row>
      <xdr:rowOff>157278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591400-5CA8-EBCE-DDA2-AE0C116CC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61925"/>
          <a:ext cx="5476875" cy="6091353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171451</xdr:colOff>
      <xdr:row>32</xdr:row>
      <xdr:rowOff>142875</xdr:rowOff>
    </xdr:from>
    <xdr:to>
      <xdr:col>7</xdr:col>
      <xdr:colOff>333375</xdr:colOff>
      <xdr:row>36</xdr:row>
      <xdr:rowOff>189339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868831F-FFE5-33B9-9FB6-5E7A3C837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1" y="6238875"/>
          <a:ext cx="5495924" cy="8084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9525</xdr:rowOff>
    </xdr:from>
    <xdr:to>
      <xdr:col>7</xdr:col>
      <xdr:colOff>705668</xdr:colOff>
      <xdr:row>22</xdr:row>
      <xdr:rowOff>114873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8AB34E-75FD-F09A-1B9A-08DA452D2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00025"/>
          <a:ext cx="5858693" cy="4105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3C9E6-5F5E-43B3-9137-08D131D06B67}">
  <dimension ref="A1:V257"/>
  <sheetViews>
    <sheetView tabSelected="1" zoomScale="70" zoomScaleNormal="70" workbookViewId="0">
      <pane ySplit="2" topLeftCell="A3" activePane="bottomLeft" state="frozen"/>
      <selection pane="bottomLeft" activeCell="F6" sqref="F6"/>
    </sheetView>
  </sheetViews>
  <sheetFormatPr baseColWidth="10" defaultRowHeight="26.25" x14ac:dyDescent="0.4"/>
  <cols>
    <col min="1" max="1" width="18.7109375" style="2" customWidth="1"/>
    <col min="2" max="3" width="11.42578125" style="2"/>
    <col min="4" max="4" width="18.140625" style="2" bestFit="1" customWidth="1"/>
    <col min="5" max="5" width="19.28515625" style="2" customWidth="1"/>
    <col min="6" max="6" width="16.42578125" style="2" customWidth="1"/>
    <col min="7" max="7" width="20.140625" style="2" customWidth="1"/>
    <col min="8" max="8" width="26.5703125" style="2" customWidth="1"/>
    <col min="9" max="9" width="19.5703125" style="2" customWidth="1"/>
    <col min="10" max="10" width="18.140625" style="2" bestFit="1" customWidth="1"/>
    <col min="11" max="11" width="16.28515625" style="2" bestFit="1" customWidth="1"/>
    <col min="12" max="12" width="17.42578125" style="2" customWidth="1"/>
    <col min="13" max="13" width="12.5703125" style="2" bestFit="1" customWidth="1"/>
    <col min="14" max="22" width="11.42578125" style="2"/>
    <col min="23" max="16384" width="11.42578125" style="9"/>
  </cols>
  <sheetData>
    <row r="1" spans="1:22" customFormat="1" ht="47.25" thickTop="1" x14ac:dyDescent="0.7">
      <c r="A1" s="3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</row>
    <row r="2" spans="1:22" customFormat="1" ht="47.25" thickBot="1" x14ac:dyDescent="0.75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27" thickTop="1" x14ac:dyDescent="0.4"/>
    <row r="4" spans="1:22" x14ac:dyDescent="0.4">
      <c r="A4" s="2" t="s">
        <v>2</v>
      </c>
    </row>
    <row r="5" spans="1:22" x14ac:dyDescent="0.4">
      <c r="A5" s="16" t="s">
        <v>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x14ac:dyDescent="0.4">
      <c r="A6" s="11" t="s">
        <v>4</v>
      </c>
      <c r="B6" s="11"/>
      <c r="C6" s="11"/>
      <c r="D6" s="12">
        <v>0.3</v>
      </c>
      <c r="H6" s="21"/>
      <c r="I6" s="21"/>
      <c r="J6" s="21" t="s">
        <v>18</v>
      </c>
      <c r="K6" s="21" t="s">
        <v>19</v>
      </c>
      <c r="L6" s="21" t="s">
        <v>20</v>
      </c>
      <c r="M6" s="21" t="s">
        <v>21</v>
      </c>
    </row>
    <row r="7" spans="1:22" x14ac:dyDescent="0.4">
      <c r="A7" s="11"/>
      <c r="B7" s="11"/>
      <c r="C7" s="11"/>
      <c r="D7" s="12"/>
      <c r="H7" s="17" t="s">
        <v>16</v>
      </c>
      <c r="I7" s="17"/>
      <c r="J7" s="18">
        <f>+E9+E14</f>
        <v>540000</v>
      </c>
      <c r="K7" s="18">
        <f>+E9</f>
        <v>500000</v>
      </c>
      <c r="L7" s="18">
        <f>+J7-K7</f>
        <v>40000</v>
      </c>
      <c r="M7" s="19">
        <f>+L7*$D$6</f>
        <v>12000</v>
      </c>
    </row>
    <row r="8" spans="1:22" x14ac:dyDescent="0.4">
      <c r="A8" s="23" t="s">
        <v>9</v>
      </c>
      <c r="B8" s="23"/>
      <c r="C8" s="23"/>
      <c r="E8" s="14" t="s">
        <v>7</v>
      </c>
      <c r="F8" s="14" t="s">
        <v>8</v>
      </c>
      <c r="H8" s="17" t="s">
        <v>17</v>
      </c>
      <c r="I8" s="17"/>
      <c r="J8" s="18">
        <f>+F12+E19</f>
        <v>600000</v>
      </c>
      <c r="K8" s="18">
        <f>+K7</f>
        <v>500000</v>
      </c>
      <c r="L8" s="18">
        <f>+J8-K8</f>
        <v>100000</v>
      </c>
      <c r="M8" s="19">
        <f>+L8*$D$6</f>
        <v>30000</v>
      </c>
    </row>
    <row r="9" spans="1:22" x14ac:dyDescent="0.4">
      <c r="A9" s="2" t="s">
        <v>5</v>
      </c>
      <c r="E9" s="13">
        <v>500000</v>
      </c>
    </row>
    <row r="10" spans="1:22" x14ac:dyDescent="0.4">
      <c r="A10" s="2" t="s">
        <v>6</v>
      </c>
      <c r="F10" s="13">
        <f>+E9</f>
        <v>500000</v>
      </c>
    </row>
    <row r="12" spans="1:22" x14ac:dyDescent="0.4">
      <c r="A12" s="23" t="s">
        <v>10</v>
      </c>
      <c r="B12" s="23"/>
      <c r="C12" s="23"/>
      <c r="D12" s="2" t="s">
        <v>11</v>
      </c>
      <c r="F12" s="13">
        <v>540000</v>
      </c>
      <c r="H12" s="22" t="s">
        <v>22</v>
      </c>
    </row>
    <row r="13" spans="1:22" x14ac:dyDescent="0.4">
      <c r="E13" s="14" t="s">
        <v>7</v>
      </c>
      <c r="F13" s="14" t="s">
        <v>8</v>
      </c>
      <c r="J13" s="14" t="s">
        <v>7</v>
      </c>
      <c r="K13" s="14" t="s">
        <v>8</v>
      </c>
    </row>
    <row r="14" spans="1:22" x14ac:dyDescent="0.4">
      <c r="A14" s="2" t="s">
        <v>5</v>
      </c>
      <c r="E14" s="13">
        <f>+F12-E9</f>
        <v>40000</v>
      </c>
      <c r="H14" s="2" t="s">
        <v>13</v>
      </c>
      <c r="J14" s="20">
        <f>+E14*D6</f>
        <v>12000</v>
      </c>
    </row>
    <row r="15" spans="1:22" x14ac:dyDescent="0.4">
      <c r="A15" s="2" t="s">
        <v>12</v>
      </c>
      <c r="F15" s="13">
        <f>+E14</f>
        <v>40000</v>
      </c>
      <c r="H15" s="2" t="s">
        <v>14</v>
      </c>
      <c r="K15" s="13">
        <f>+J14</f>
        <v>12000</v>
      </c>
    </row>
    <row r="17" spans="1:11" x14ac:dyDescent="0.4">
      <c r="A17" s="23" t="s">
        <v>15</v>
      </c>
      <c r="B17" s="23"/>
      <c r="C17" s="23"/>
      <c r="D17" s="2" t="s">
        <v>11</v>
      </c>
      <c r="F17" s="13">
        <v>600000</v>
      </c>
    </row>
    <row r="18" spans="1:11" x14ac:dyDescent="0.4">
      <c r="E18" s="14" t="s">
        <v>7</v>
      </c>
      <c r="F18" s="14" t="s">
        <v>8</v>
      </c>
      <c r="J18" s="14" t="s">
        <v>7</v>
      </c>
      <c r="K18" s="14" t="s">
        <v>8</v>
      </c>
    </row>
    <row r="19" spans="1:11" x14ac:dyDescent="0.4">
      <c r="A19" s="2" t="s">
        <v>5</v>
      </c>
      <c r="E19" s="13">
        <f>+F17-F12</f>
        <v>60000</v>
      </c>
      <c r="H19" s="2" t="s">
        <v>13</v>
      </c>
      <c r="J19" s="20">
        <f>+E19*$D$6</f>
        <v>18000</v>
      </c>
    </row>
    <row r="20" spans="1:11" x14ac:dyDescent="0.4">
      <c r="A20" s="2" t="s">
        <v>12</v>
      </c>
      <c r="F20" s="13">
        <f>+E19</f>
        <v>60000</v>
      </c>
      <c r="H20" s="2" t="s">
        <v>14</v>
      </c>
      <c r="K20" s="13">
        <f>+J19</f>
        <v>18000</v>
      </c>
    </row>
    <row r="22" spans="1:11" x14ac:dyDescent="0.4">
      <c r="A22" s="23" t="s">
        <v>23</v>
      </c>
      <c r="B22" s="23"/>
      <c r="C22" s="23"/>
      <c r="D22" s="2" t="s">
        <v>11</v>
      </c>
      <c r="F22" s="13">
        <v>650000</v>
      </c>
    </row>
    <row r="23" spans="1:11" x14ac:dyDescent="0.4">
      <c r="E23" s="14" t="s">
        <v>7</v>
      </c>
      <c r="F23" s="14" t="s">
        <v>8</v>
      </c>
      <c r="J23" s="14" t="s">
        <v>7</v>
      </c>
      <c r="K23" s="14" t="s">
        <v>8</v>
      </c>
    </row>
    <row r="24" spans="1:11" x14ac:dyDescent="0.4">
      <c r="A24" s="2" t="s">
        <v>5</v>
      </c>
      <c r="E24" s="13">
        <f>+F22-F17</f>
        <v>50000</v>
      </c>
      <c r="H24" s="2" t="s">
        <v>13</v>
      </c>
      <c r="J24" s="20">
        <f>+E24*$D$6</f>
        <v>15000</v>
      </c>
    </row>
    <row r="25" spans="1:11" x14ac:dyDescent="0.4">
      <c r="A25" s="2" t="s">
        <v>12</v>
      </c>
      <c r="F25" s="13">
        <f>+E24</f>
        <v>50000</v>
      </c>
      <c r="H25" s="2" t="s">
        <v>14</v>
      </c>
      <c r="K25" s="13">
        <f>+J24</f>
        <v>15000</v>
      </c>
    </row>
    <row r="28" spans="1:11" x14ac:dyDescent="0.4">
      <c r="A28" s="2" t="s">
        <v>6</v>
      </c>
      <c r="E28" s="13">
        <f>+F22</f>
        <v>650000</v>
      </c>
      <c r="H28" s="2" t="s">
        <v>14</v>
      </c>
      <c r="J28" s="13">
        <f>+K15+K20+K25</f>
        <v>45000</v>
      </c>
    </row>
    <row r="29" spans="1:11" x14ac:dyDescent="0.4">
      <c r="A29" s="2" t="s">
        <v>5</v>
      </c>
      <c r="F29" s="13">
        <f>+E28</f>
        <v>650000</v>
      </c>
      <c r="H29" s="2" t="s">
        <v>24</v>
      </c>
      <c r="K29" s="13">
        <f>+J28</f>
        <v>45000</v>
      </c>
    </row>
    <row r="31" spans="1:11" x14ac:dyDescent="0.4">
      <c r="H31" s="2" t="s">
        <v>25</v>
      </c>
      <c r="K31" s="13">
        <f>+E28</f>
        <v>650000</v>
      </c>
    </row>
    <row r="32" spans="1:11" x14ac:dyDescent="0.4">
      <c r="H32" s="2" t="s">
        <v>26</v>
      </c>
      <c r="K32" s="13">
        <f>-E9</f>
        <v>-500000</v>
      </c>
    </row>
    <row r="33" spans="1:11" x14ac:dyDescent="0.4">
      <c r="H33" s="11" t="s">
        <v>27</v>
      </c>
      <c r="I33" s="11"/>
      <c r="J33" s="11"/>
      <c r="K33" s="24">
        <f>+K31+K32</f>
        <v>150000</v>
      </c>
    </row>
    <row r="34" spans="1:11" x14ac:dyDescent="0.4">
      <c r="H34" s="2" t="s">
        <v>28</v>
      </c>
      <c r="K34" s="24">
        <f>+K33*D6</f>
        <v>45000</v>
      </c>
    </row>
    <row r="36" spans="1:11" x14ac:dyDescent="0.4">
      <c r="H36" s="2" t="s">
        <v>30</v>
      </c>
      <c r="J36" s="13">
        <f>+K37</f>
        <v>45000</v>
      </c>
    </row>
    <row r="37" spans="1:11" x14ac:dyDescent="0.4">
      <c r="H37" s="2" t="s">
        <v>29</v>
      </c>
      <c r="K37" s="13">
        <f>+K34</f>
        <v>45000</v>
      </c>
    </row>
    <row r="42" spans="1:11" x14ac:dyDescent="0.4">
      <c r="A42" s="2" t="s">
        <v>31</v>
      </c>
    </row>
    <row r="43" spans="1:11" x14ac:dyDescent="0.4">
      <c r="E43" s="14" t="s">
        <v>32</v>
      </c>
      <c r="F43" s="14" t="s">
        <v>33</v>
      </c>
      <c r="G43" s="14" t="s">
        <v>34</v>
      </c>
      <c r="H43" s="14"/>
      <c r="I43" s="14"/>
      <c r="J43" s="14"/>
      <c r="K43" s="14"/>
    </row>
    <row r="44" spans="1:11" x14ac:dyDescent="0.4">
      <c r="A44" s="2" t="s">
        <v>37</v>
      </c>
      <c r="E44" s="13">
        <f>+F15</f>
        <v>40000</v>
      </c>
      <c r="F44" s="13">
        <f>+F20</f>
        <v>60000</v>
      </c>
      <c r="G44" s="13">
        <f>+F25</f>
        <v>50000</v>
      </c>
    </row>
    <row r="46" spans="1:11" x14ac:dyDescent="0.4">
      <c r="A46" s="2" t="s">
        <v>38</v>
      </c>
    </row>
    <row r="47" spans="1:11" x14ac:dyDescent="0.4">
      <c r="B47" s="2" t="s">
        <v>39</v>
      </c>
      <c r="E47" s="2">
        <v>0</v>
      </c>
      <c r="F47" s="2">
        <v>0</v>
      </c>
      <c r="G47" s="13">
        <f>-J36</f>
        <v>-45000</v>
      </c>
    </row>
    <row r="48" spans="1:11" x14ac:dyDescent="0.4">
      <c r="B48" s="2" t="s">
        <v>40</v>
      </c>
      <c r="E48" s="13">
        <f>-J14</f>
        <v>-12000</v>
      </c>
      <c r="F48" s="13">
        <f>-J19</f>
        <v>-18000</v>
      </c>
      <c r="G48" s="13">
        <f>-J24+K29</f>
        <v>30000</v>
      </c>
    </row>
    <row r="50" spans="1:22" x14ac:dyDescent="0.4">
      <c r="A50" s="22" t="s">
        <v>41</v>
      </c>
      <c r="B50" s="22"/>
      <c r="C50" s="22"/>
      <c r="D50" s="22"/>
      <c r="E50" s="25">
        <f>SUM(E44:E48)</f>
        <v>28000</v>
      </c>
      <c r="F50" s="25">
        <f t="shared" ref="F50:G50" si="0">SUM(F44:F48)</f>
        <v>42000</v>
      </c>
      <c r="G50" s="25">
        <f t="shared" si="0"/>
        <v>35000</v>
      </c>
    </row>
    <row r="51" spans="1:22" x14ac:dyDescent="0.4">
      <c r="A51" s="11" t="s">
        <v>44</v>
      </c>
      <c r="E51" s="27">
        <f>+E50/E44</f>
        <v>0.7</v>
      </c>
      <c r="F51" s="27">
        <f>+F50/F44</f>
        <v>0.7</v>
      </c>
      <c r="G51" s="27">
        <f>+G50/G44</f>
        <v>0.7</v>
      </c>
    </row>
    <row r="53" spans="1:22" x14ac:dyDescent="0.4">
      <c r="A53" s="2" t="s">
        <v>42</v>
      </c>
      <c r="E53" s="10">
        <v>0.3</v>
      </c>
    </row>
    <row r="54" spans="1:22" x14ac:dyDescent="0.4">
      <c r="A54" s="2" t="s">
        <v>43</v>
      </c>
      <c r="E54" s="10">
        <v>0.7</v>
      </c>
    </row>
    <row r="58" spans="1:22" x14ac:dyDescent="0.4">
      <c r="A58" s="2" t="s">
        <v>2</v>
      </c>
    </row>
    <row r="59" spans="1:22" x14ac:dyDescent="0.4">
      <c r="A59" s="30" t="s">
        <v>3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</row>
    <row r="60" spans="1:22" x14ac:dyDescent="0.4">
      <c r="A60" s="11" t="s">
        <v>4</v>
      </c>
      <c r="B60" s="11"/>
      <c r="C60" s="11"/>
      <c r="D60" s="12">
        <v>0.3</v>
      </c>
      <c r="H60" s="28" t="s">
        <v>55</v>
      </c>
      <c r="I60" s="21"/>
      <c r="J60" s="21" t="s">
        <v>18</v>
      </c>
      <c r="K60" s="21" t="s">
        <v>19</v>
      </c>
      <c r="L60" s="21" t="s">
        <v>20</v>
      </c>
      <c r="M60" s="21" t="s">
        <v>46</v>
      </c>
    </row>
    <row r="61" spans="1:22" x14ac:dyDescent="0.4">
      <c r="A61" s="11"/>
      <c r="B61" s="11"/>
      <c r="C61" s="11"/>
      <c r="D61" s="12"/>
      <c r="H61" s="28" t="s">
        <v>47</v>
      </c>
      <c r="I61" s="21"/>
      <c r="J61" s="21"/>
      <c r="K61" s="21" t="s">
        <v>48</v>
      </c>
      <c r="L61" s="21"/>
      <c r="M61" s="21"/>
    </row>
    <row r="62" spans="1:22" x14ac:dyDescent="0.4">
      <c r="A62" s="11"/>
      <c r="B62" s="11"/>
      <c r="C62" s="11"/>
      <c r="D62" s="12"/>
      <c r="H62" s="17" t="s">
        <v>16</v>
      </c>
      <c r="I62" s="17"/>
      <c r="J62" s="18">
        <f ca="1">+K62-F70</f>
        <v>386000</v>
      </c>
      <c r="K62" s="29">
        <f ca="1">RANDBETWEEN(300,500)*1000</f>
        <v>406000</v>
      </c>
      <c r="L62" s="31">
        <f ca="1">+K62-J62</f>
        <v>20000</v>
      </c>
      <c r="M62" s="32">
        <f ca="1">+L62*$D$6</f>
        <v>6000</v>
      </c>
    </row>
    <row r="63" spans="1:22" x14ac:dyDescent="0.4">
      <c r="A63" s="11"/>
      <c r="B63" s="11"/>
      <c r="C63" s="11"/>
      <c r="D63" s="12"/>
      <c r="H63" s="17" t="s">
        <v>17</v>
      </c>
      <c r="I63" s="17"/>
      <c r="J63" s="18">
        <f ca="1">+K63-F70-F75</f>
        <v>360000</v>
      </c>
      <c r="K63" s="29">
        <f ca="1">RANDBETWEEN(300,500)*1000</f>
        <v>415000</v>
      </c>
      <c r="L63" s="31">
        <f ca="1">+K63-J63</f>
        <v>55000</v>
      </c>
      <c r="M63" s="32">
        <f ca="1">+L63*$D$6</f>
        <v>16500</v>
      </c>
    </row>
    <row r="64" spans="1:22" x14ac:dyDescent="0.4">
      <c r="A64" s="11" t="s">
        <v>49</v>
      </c>
      <c r="B64" s="11"/>
      <c r="C64" s="11"/>
      <c r="D64" s="12"/>
      <c r="H64" s="17" t="s">
        <v>45</v>
      </c>
      <c r="I64" s="17"/>
      <c r="J64" s="18">
        <f ca="1">+K64-F70-F75-F80</f>
        <v>367000</v>
      </c>
      <c r="K64" s="29">
        <f ca="1">RANDBETWEEN(300,500)*1000</f>
        <v>462000</v>
      </c>
      <c r="L64" s="31">
        <f ca="1">+K64-J64</f>
        <v>95000</v>
      </c>
      <c r="M64" s="32">
        <f ca="1">+L64*$D$6</f>
        <v>28500</v>
      </c>
    </row>
    <row r="65" spans="1:12" x14ac:dyDescent="0.4">
      <c r="A65" s="11" t="s">
        <v>50</v>
      </c>
      <c r="B65" s="11"/>
      <c r="C65" s="11"/>
      <c r="D65" s="12"/>
    </row>
    <row r="67" spans="1:12" x14ac:dyDescent="0.4">
      <c r="A67" s="23" t="s">
        <v>10</v>
      </c>
      <c r="B67" s="23"/>
      <c r="C67" s="23"/>
      <c r="F67" s="13"/>
      <c r="H67" s="22" t="s">
        <v>22</v>
      </c>
    </row>
    <row r="68" spans="1:12" x14ac:dyDescent="0.4">
      <c r="E68" s="14" t="s">
        <v>7</v>
      </c>
      <c r="F68" s="14" t="s">
        <v>8</v>
      </c>
      <c r="J68" s="14" t="s">
        <v>7</v>
      </c>
      <c r="K68" s="14" t="s">
        <v>8</v>
      </c>
    </row>
    <row r="69" spans="1:12" x14ac:dyDescent="0.4">
      <c r="A69" s="2" t="s">
        <v>51</v>
      </c>
      <c r="E69" s="13">
        <v>20000</v>
      </c>
      <c r="H69" s="2" t="s">
        <v>54</v>
      </c>
      <c r="J69" s="20">
        <f>+E69*D60</f>
        <v>6000</v>
      </c>
      <c r="L69" s="20">
        <f>+J69</f>
        <v>6000</v>
      </c>
    </row>
    <row r="70" spans="1:12" x14ac:dyDescent="0.4">
      <c r="A70" s="2" t="s">
        <v>52</v>
      </c>
      <c r="F70" s="13">
        <f>+E69</f>
        <v>20000</v>
      </c>
      <c r="H70" s="2" t="s">
        <v>53</v>
      </c>
      <c r="K70" s="13">
        <f>+J69</f>
        <v>6000</v>
      </c>
    </row>
    <row r="72" spans="1:12" x14ac:dyDescent="0.4">
      <c r="A72" s="23" t="s">
        <v>15</v>
      </c>
      <c r="B72" s="23"/>
      <c r="C72" s="23"/>
      <c r="F72" s="13"/>
    </row>
    <row r="73" spans="1:12" x14ac:dyDescent="0.4">
      <c r="E73" s="14" t="s">
        <v>7</v>
      </c>
      <c r="F73" s="14" t="s">
        <v>8</v>
      </c>
      <c r="J73" s="14" t="s">
        <v>7</v>
      </c>
      <c r="K73" s="14" t="s">
        <v>8</v>
      </c>
    </row>
    <row r="74" spans="1:12" x14ac:dyDescent="0.4">
      <c r="A74" s="2" t="s">
        <v>51</v>
      </c>
      <c r="E74" s="13">
        <v>35000</v>
      </c>
      <c r="H74" s="2" t="s">
        <v>54</v>
      </c>
      <c r="J74" s="20">
        <f>+E74*$D$6</f>
        <v>10500</v>
      </c>
      <c r="L74" s="20">
        <f>+J74+L69</f>
        <v>16500</v>
      </c>
    </row>
    <row r="75" spans="1:12" x14ac:dyDescent="0.4">
      <c r="A75" s="2" t="s">
        <v>52</v>
      </c>
      <c r="F75" s="13">
        <f>+E74</f>
        <v>35000</v>
      </c>
      <c r="H75" s="2" t="s">
        <v>53</v>
      </c>
      <c r="K75" s="13">
        <f>+J74</f>
        <v>10500</v>
      </c>
    </row>
    <row r="77" spans="1:12" x14ac:dyDescent="0.4">
      <c r="A77" s="23" t="s">
        <v>23</v>
      </c>
      <c r="B77" s="23"/>
      <c r="C77" s="23"/>
      <c r="F77" s="13"/>
    </row>
    <row r="78" spans="1:12" x14ac:dyDescent="0.4">
      <c r="E78" s="14" t="s">
        <v>7</v>
      </c>
      <c r="F78" s="14" t="s">
        <v>8</v>
      </c>
      <c r="J78" s="14" t="s">
        <v>7</v>
      </c>
      <c r="K78" s="14" t="s">
        <v>8</v>
      </c>
    </row>
    <row r="79" spans="1:12" x14ac:dyDescent="0.4">
      <c r="A79" s="2" t="s">
        <v>51</v>
      </c>
      <c r="E79" s="13">
        <v>40000</v>
      </c>
      <c r="H79" s="2" t="s">
        <v>54</v>
      </c>
      <c r="J79" s="20">
        <f>+E79*$D$6</f>
        <v>12000</v>
      </c>
      <c r="L79" s="20">
        <f>+J79+L74</f>
        <v>28500</v>
      </c>
    </row>
    <row r="80" spans="1:12" x14ac:dyDescent="0.4">
      <c r="A80" s="2" t="s">
        <v>52</v>
      </c>
      <c r="F80" s="13">
        <f>+E79</f>
        <v>40000</v>
      </c>
      <c r="H80" s="2" t="s">
        <v>53</v>
      </c>
      <c r="K80" s="13">
        <f>+J79</f>
        <v>12000</v>
      </c>
    </row>
    <row r="83" spans="1:11" x14ac:dyDescent="0.4">
      <c r="A83" s="2" t="s">
        <v>31</v>
      </c>
    </row>
    <row r="84" spans="1:11" x14ac:dyDescent="0.4">
      <c r="A84" s="39"/>
      <c r="B84" s="39"/>
      <c r="C84" s="39"/>
      <c r="D84" s="39"/>
      <c r="E84" s="40" t="s">
        <v>32</v>
      </c>
      <c r="F84" s="40" t="s">
        <v>33</v>
      </c>
      <c r="G84" s="40" t="s">
        <v>34</v>
      </c>
      <c r="H84" s="14"/>
      <c r="I84" s="14"/>
      <c r="J84" s="14"/>
      <c r="K84" s="14"/>
    </row>
    <row r="85" spans="1:11" x14ac:dyDescent="0.4">
      <c r="A85" s="2" t="s">
        <v>56</v>
      </c>
      <c r="E85" s="13">
        <v>500000</v>
      </c>
      <c r="F85" s="13">
        <f>+E85+100000</f>
        <v>600000</v>
      </c>
      <c r="G85" s="13">
        <f>+F85+100000</f>
        <v>700000</v>
      </c>
    </row>
    <row r="86" spans="1:11" x14ac:dyDescent="0.4">
      <c r="A86" s="2" t="s">
        <v>57</v>
      </c>
      <c r="E86" s="13">
        <v>-100000</v>
      </c>
      <c r="F86" s="13">
        <f>+E86-30000</f>
        <v>-130000</v>
      </c>
      <c r="G86" s="13">
        <f>+F86-30000</f>
        <v>-160000</v>
      </c>
    </row>
    <row r="87" spans="1:11" x14ac:dyDescent="0.4">
      <c r="A87" s="2" t="s">
        <v>58</v>
      </c>
      <c r="E87" s="13">
        <f>-E69</f>
        <v>-20000</v>
      </c>
      <c r="F87" s="13">
        <f>-E74</f>
        <v>-35000</v>
      </c>
      <c r="G87" s="13">
        <f>-E79</f>
        <v>-40000</v>
      </c>
    </row>
    <row r="88" spans="1:11" x14ac:dyDescent="0.4">
      <c r="A88" s="33" t="s">
        <v>59</v>
      </c>
      <c r="B88" s="33"/>
      <c r="C88" s="33"/>
      <c r="D88" s="33"/>
      <c r="E88" s="34">
        <f>SUM(E85:E87)</f>
        <v>380000</v>
      </c>
      <c r="F88" s="34">
        <f t="shared" ref="F88:G88" si="1">SUM(F85:F87)</f>
        <v>435000</v>
      </c>
      <c r="G88" s="34">
        <f t="shared" si="1"/>
        <v>500000</v>
      </c>
    </row>
    <row r="89" spans="1:11" x14ac:dyDescent="0.4">
      <c r="A89" s="2" t="s">
        <v>38</v>
      </c>
    </row>
    <row r="90" spans="1:11" x14ac:dyDescent="0.4">
      <c r="B90" s="2" t="s">
        <v>39</v>
      </c>
      <c r="E90" s="13">
        <f>-(E85+E86)*0.3</f>
        <v>-120000</v>
      </c>
      <c r="F90" s="13">
        <f t="shared" ref="F90:G90" si="2">-(F85+F86)*0.3</f>
        <v>-141000</v>
      </c>
      <c r="G90" s="13">
        <f t="shared" si="2"/>
        <v>-162000</v>
      </c>
    </row>
    <row r="91" spans="1:11" x14ac:dyDescent="0.4">
      <c r="B91" s="2" t="s">
        <v>40</v>
      </c>
      <c r="E91" s="13">
        <f>+K70</f>
        <v>6000</v>
      </c>
      <c r="F91" s="13">
        <f>+K75</f>
        <v>10500</v>
      </c>
      <c r="G91" s="13">
        <f>+K80</f>
        <v>12000</v>
      </c>
    </row>
    <row r="92" spans="1:11" x14ac:dyDescent="0.4">
      <c r="A92" s="35" t="s">
        <v>41</v>
      </c>
      <c r="B92" s="35"/>
      <c r="C92" s="35"/>
      <c r="D92" s="35"/>
      <c r="E92" s="36">
        <f>SUM(E88:E91)</f>
        <v>266000</v>
      </c>
      <c r="F92" s="36">
        <f>SUM(F88:F91)</f>
        <v>304500</v>
      </c>
      <c r="G92" s="36">
        <f>SUM(G88:G91)</f>
        <v>350000</v>
      </c>
    </row>
    <row r="93" spans="1:11" x14ac:dyDescent="0.4">
      <c r="A93" s="11" t="s">
        <v>44</v>
      </c>
      <c r="E93" s="27">
        <f>+E92/E88</f>
        <v>0.7</v>
      </c>
      <c r="F93" s="27">
        <f t="shared" ref="F93:G93" si="3">+F92/F88</f>
        <v>0.7</v>
      </c>
      <c r="G93" s="27">
        <f t="shared" si="3"/>
        <v>0.7</v>
      </c>
    </row>
    <row r="94" spans="1:11" x14ac:dyDescent="0.4">
      <c r="A94" s="11" t="s">
        <v>60</v>
      </c>
      <c r="E94" s="27">
        <f>-(E90+E91)/E88</f>
        <v>0.3</v>
      </c>
      <c r="F94" s="27">
        <f t="shared" ref="F94:G94" si="4">-(F90+F91)/F88</f>
        <v>0.3</v>
      </c>
      <c r="G94" s="27">
        <f t="shared" si="4"/>
        <v>0.3</v>
      </c>
    </row>
    <row r="96" spans="1:11" x14ac:dyDescent="0.4">
      <c r="A96" s="37" t="s">
        <v>42</v>
      </c>
      <c r="B96" s="37"/>
      <c r="C96" s="37"/>
      <c r="D96" s="37"/>
      <c r="E96" s="38">
        <v>0.3</v>
      </c>
    </row>
    <row r="97" spans="1:22" x14ac:dyDescent="0.4">
      <c r="A97" s="37" t="s">
        <v>43</v>
      </c>
      <c r="B97" s="37"/>
      <c r="C97" s="37"/>
      <c r="D97" s="37"/>
      <c r="E97" s="38">
        <v>0.7</v>
      </c>
    </row>
    <row r="101" spans="1:22" x14ac:dyDescent="0.4">
      <c r="A101" s="2" t="s">
        <v>2</v>
      </c>
    </row>
    <row r="102" spans="1:22" x14ac:dyDescent="0.4">
      <c r="A102" s="30" t="s">
        <v>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</row>
    <row r="103" spans="1:22" x14ac:dyDescent="0.4">
      <c r="A103" s="11" t="s">
        <v>4</v>
      </c>
      <c r="B103" s="11"/>
      <c r="C103" s="11"/>
      <c r="D103" s="12">
        <v>0.3</v>
      </c>
      <c r="F103" s="28" t="s">
        <v>55</v>
      </c>
      <c r="G103" s="21"/>
      <c r="H103" s="21" t="s">
        <v>18</v>
      </c>
      <c r="I103" s="21" t="s">
        <v>19</v>
      </c>
      <c r="J103" s="21" t="s">
        <v>20</v>
      </c>
      <c r="K103" s="21" t="s">
        <v>46</v>
      </c>
    </row>
    <row r="104" spans="1:22" x14ac:dyDescent="0.4">
      <c r="A104" s="11"/>
      <c r="B104" s="11"/>
      <c r="C104" s="11"/>
      <c r="D104" s="12"/>
      <c r="F104" s="28" t="s">
        <v>47</v>
      </c>
      <c r="G104" s="21"/>
      <c r="H104" s="21"/>
      <c r="I104" s="21" t="s">
        <v>48</v>
      </c>
      <c r="J104" s="21"/>
      <c r="K104" s="21"/>
    </row>
    <row r="105" spans="1:22" x14ac:dyDescent="0.4">
      <c r="A105" s="11"/>
      <c r="B105" s="11"/>
      <c r="C105" s="11"/>
      <c r="D105" s="12"/>
      <c r="F105" s="17" t="s">
        <v>16</v>
      </c>
      <c r="G105" s="17"/>
      <c r="H105" s="18">
        <f>+I144</f>
        <v>47607.292123543564</v>
      </c>
      <c r="I105" s="29">
        <v>0</v>
      </c>
      <c r="J105" s="31">
        <f>+H105-I105</f>
        <v>47607.292123543564</v>
      </c>
      <c r="K105" s="41">
        <f>+J105*$D$6</f>
        <v>14282.187637063069</v>
      </c>
    </row>
    <row r="106" spans="1:22" x14ac:dyDescent="0.4">
      <c r="A106" s="11"/>
      <c r="B106" s="11"/>
      <c r="C106" s="11"/>
      <c r="D106" s="12"/>
      <c r="F106" s="17" t="s">
        <v>17</v>
      </c>
      <c r="G106" s="17"/>
      <c r="H106" s="18">
        <f>+I145</f>
        <v>72796.839061105391</v>
      </c>
      <c r="I106" s="29">
        <v>0</v>
      </c>
      <c r="J106" s="31">
        <f t="shared" ref="J106:J109" si="5">+H106-I106</f>
        <v>72796.839061105391</v>
      </c>
      <c r="K106" s="41">
        <f>+J106*$D$6</f>
        <v>21839.051718331615</v>
      </c>
      <c r="L106" s="24">
        <f>+K106-K105</f>
        <v>7556.8640812685462</v>
      </c>
    </row>
    <row r="107" spans="1:22" x14ac:dyDescent="0.4">
      <c r="A107" s="11"/>
      <c r="B107" s="11"/>
      <c r="C107" s="11"/>
      <c r="D107" s="12"/>
      <c r="F107" s="17" t="s">
        <v>45</v>
      </c>
      <c r="G107" s="17"/>
      <c r="H107" s="18">
        <f>+I146</f>
        <v>74223.576101526618</v>
      </c>
      <c r="I107" s="29">
        <v>0</v>
      </c>
      <c r="J107" s="31">
        <f t="shared" si="5"/>
        <v>74223.576101526618</v>
      </c>
      <c r="K107" s="41">
        <f>+J107*$D$6</f>
        <v>22267.072830457986</v>
      </c>
    </row>
    <row r="108" spans="1:22" x14ac:dyDescent="0.4">
      <c r="A108" s="11"/>
      <c r="B108" s="11"/>
      <c r="C108" s="11"/>
      <c r="D108" s="12"/>
      <c r="F108" s="17" t="s">
        <v>79</v>
      </c>
      <c r="G108" s="17"/>
      <c r="H108" s="18">
        <f>+I147</f>
        <v>50461.73465097876</v>
      </c>
      <c r="I108" s="29">
        <v>0</v>
      </c>
      <c r="J108" s="31">
        <f t="shared" si="5"/>
        <v>50461.73465097876</v>
      </c>
      <c r="K108" s="41">
        <f>+J108*$D$6</f>
        <v>15138.520395293628</v>
      </c>
    </row>
    <row r="109" spans="1:22" x14ac:dyDescent="0.4">
      <c r="A109" s="11"/>
      <c r="B109" s="11"/>
      <c r="C109" s="11"/>
      <c r="D109" s="12"/>
      <c r="F109" s="17" t="s">
        <v>80</v>
      </c>
      <c r="G109" s="17"/>
      <c r="H109" s="18">
        <f>+I148</f>
        <v>3.6998244468122721E-9</v>
      </c>
      <c r="I109" s="29">
        <v>0</v>
      </c>
      <c r="J109" s="31">
        <f t="shared" si="5"/>
        <v>3.6998244468122721E-9</v>
      </c>
      <c r="K109" s="41">
        <f>+J109*$D$6</f>
        <v>1.1099473340436815E-9</v>
      </c>
    </row>
    <row r="110" spans="1:22" x14ac:dyDescent="0.4">
      <c r="A110" s="11"/>
      <c r="B110" s="11"/>
      <c r="C110" s="11"/>
      <c r="D110" s="12"/>
    </row>
    <row r="111" spans="1:22" x14ac:dyDescent="0.4">
      <c r="A111" s="2" t="s">
        <v>31</v>
      </c>
    </row>
    <row r="112" spans="1:22" x14ac:dyDescent="0.4">
      <c r="A112" s="39"/>
      <c r="B112" s="39"/>
      <c r="C112" s="39"/>
      <c r="D112" s="39"/>
      <c r="E112" s="40" t="s">
        <v>32</v>
      </c>
      <c r="F112" s="40" t="s">
        <v>33</v>
      </c>
      <c r="G112" s="40" t="s">
        <v>34</v>
      </c>
      <c r="H112" s="40" t="s">
        <v>35</v>
      </c>
      <c r="I112" s="40" t="s">
        <v>36</v>
      </c>
      <c r="J112" s="14"/>
      <c r="K112" s="14"/>
    </row>
    <row r="113" spans="1:10" x14ac:dyDescent="0.4">
      <c r="A113" s="2" t="s">
        <v>56</v>
      </c>
      <c r="E113" s="13">
        <v>800000</v>
      </c>
      <c r="F113" s="13">
        <v>800000</v>
      </c>
      <c r="G113" s="13">
        <v>800000</v>
      </c>
      <c r="H113" s="13">
        <v>800000</v>
      </c>
      <c r="I113" s="13">
        <v>800000</v>
      </c>
    </row>
    <row r="114" spans="1:10" x14ac:dyDescent="0.4">
      <c r="A114" s="2" t="s">
        <v>57</v>
      </c>
      <c r="E114" s="13">
        <v>-200000</v>
      </c>
      <c r="F114" s="13">
        <v>-200000</v>
      </c>
      <c r="G114" s="13">
        <v>-200000</v>
      </c>
      <c r="H114" s="13">
        <v>-200000</v>
      </c>
      <c r="I114" s="13">
        <v>-200000</v>
      </c>
    </row>
    <row r="115" spans="1:10" x14ac:dyDescent="0.4">
      <c r="A115" s="2" t="s">
        <v>73</v>
      </c>
      <c r="E115" s="13">
        <f>-D140/5</f>
        <v>-421236.3785565719</v>
      </c>
      <c r="F115" s="13">
        <f>+E115</f>
        <v>-421236.3785565719</v>
      </c>
      <c r="G115" s="13">
        <f t="shared" ref="G115:I115" si="6">+F115</f>
        <v>-421236.3785565719</v>
      </c>
      <c r="H115" s="13">
        <f t="shared" si="6"/>
        <v>-421236.3785565719</v>
      </c>
      <c r="I115" s="13">
        <f t="shared" si="6"/>
        <v>-421236.3785565719</v>
      </c>
    </row>
    <row r="116" spans="1:10" x14ac:dyDescent="0.4">
      <c r="A116" s="2" t="s">
        <v>74</v>
      </c>
      <c r="E116" s="13">
        <f>-E144</f>
        <v>-126370.91356697156</v>
      </c>
      <c r="F116" s="13">
        <f>-E145</f>
        <v>-103953.16838098987</v>
      </c>
      <c r="G116" s="13">
        <f>-E146</f>
        <v>-80190.358483849268</v>
      </c>
      <c r="H116" s="13">
        <f>-E147</f>
        <v>-55001.77999288022</v>
      </c>
      <c r="I116" s="13">
        <f>-E148</f>
        <v>-28301.886792453039</v>
      </c>
    </row>
    <row r="117" spans="1:10" x14ac:dyDescent="0.4">
      <c r="E117" s="13"/>
      <c r="F117" s="13"/>
      <c r="G117" s="13"/>
      <c r="H117" s="13"/>
      <c r="I117" s="13"/>
    </row>
    <row r="118" spans="1:10" x14ac:dyDescent="0.4">
      <c r="A118" s="33" t="s">
        <v>59</v>
      </c>
      <c r="B118" s="33"/>
      <c r="C118" s="33"/>
      <c r="D118" s="33"/>
      <c r="E118" s="41">
        <f>SUM(E113:E117)</f>
        <v>52392.707876456538</v>
      </c>
      <c r="F118" s="41">
        <f t="shared" ref="F118:I118" si="7">SUM(F113:F117)</f>
        <v>74810.453062438231</v>
      </c>
      <c r="G118" s="41">
        <f t="shared" si="7"/>
        <v>98573.262959578831</v>
      </c>
      <c r="H118" s="41">
        <f t="shared" si="7"/>
        <v>123761.84145054789</v>
      </c>
      <c r="I118" s="41">
        <f t="shared" si="7"/>
        <v>150461.73465097506</v>
      </c>
    </row>
    <row r="119" spans="1:10" x14ac:dyDescent="0.4">
      <c r="A119" s="2" t="s">
        <v>38</v>
      </c>
    </row>
    <row r="120" spans="1:10" x14ac:dyDescent="0.4">
      <c r="B120" s="2" t="s">
        <v>39</v>
      </c>
      <c r="E120" s="13">
        <f>-E157</f>
        <v>-30000</v>
      </c>
      <c r="F120" s="13">
        <f t="shared" ref="F120:I120" si="8">-F157</f>
        <v>-30000</v>
      </c>
      <c r="G120" s="13">
        <f t="shared" si="8"/>
        <v>-30000</v>
      </c>
      <c r="H120" s="13">
        <f t="shared" si="8"/>
        <v>-30000</v>
      </c>
      <c r="I120" s="13">
        <f t="shared" si="8"/>
        <v>-30000</v>
      </c>
    </row>
    <row r="121" spans="1:10" x14ac:dyDescent="0.4">
      <c r="B121" s="2" t="s">
        <v>40</v>
      </c>
      <c r="E121" s="45">
        <v>14282.187637063034</v>
      </c>
      <c r="F121" s="45">
        <v>7556.8640812685262</v>
      </c>
      <c r="G121" s="45">
        <v>428.0211121263419</v>
      </c>
      <c r="H121" s="45">
        <v>-7128.5524351643689</v>
      </c>
      <c r="I121" s="45">
        <v>-15138.520395292522</v>
      </c>
      <c r="J121" s="24">
        <f>SUM(E121:I121)</f>
        <v>1.0113581083714962E-9</v>
      </c>
    </row>
    <row r="122" spans="1:10" x14ac:dyDescent="0.4">
      <c r="A122" s="35" t="s">
        <v>41</v>
      </c>
      <c r="B122" s="35"/>
      <c r="C122" s="35"/>
      <c r="D122" s="35"/>
      <c r="E122" s="36">
        <f>SUM(E118:E121)</f>
        <v>36674.895513519572</v>
      </c>
      <c r="F122" s="36">
        <f>SUM(F118:F121)</f>
        <v>52367.317143706758</v>
      </c>
      <c r="G122" s="36">
        <f>SUM(G118:G121)</f>
        <v>69001.284071705173</v>
      </c>
      <c r="H122" s="36">
        <f t="shared" ref="H122:I122" si="9">SUM(H118:H121)</f>
        <v>86633.289015383518</v>
      </c>
      <c r="I122" s="36">
        <f t="shared" si="9"/>
        <v>105323.21425568254</v>
      </c>
    </row>
    <row r="123" spans="1:10" x14ac:dyDescent="0.4">
      <c r="A123" s="11" t="s">
        <v>78</v>
      </c>
      <c r="E123" s="26">
        <f>+E122/E118</f>
        <v>0.7</v>
      </c>
      <c r="F123" s="26">
        <f t="shared" ref="F123" si="10">+F122/F118</f>
        <v>0.7</v>
      </c>
      <c r="G123" s="26">
        <f t="shared" ref="G123" si="11">+G122/G118</f>
        <v>0.7</v>
      </c>
      <c r="H123" s="26">
        <f t="shared" ref="H123" si="12">+H122/H118</f>
        <v>0.7</v>
      </c>
      <c r="I123" s="26">
        <f t="shared" ref="I123" si="13">+I122/I118</f>
        <v>0.7</v>
      </c>
    </row>
    <row r="124" spans="1:10" x14ac:dyDescent="0.4">
      <c r="A124" s="11" t="s">
        <v>60</v>
      </c>
      <c r="E124" s="26">
        <f>-(E120+E121)/E118</f>
        <v>0.3000000000000001</v>
      </c>
      <c r="F124" s="26">
        <f t="shared" ref="F124:G124" si="14">-(F120+F121)/F118</f>
        <v>0.30000000000000004</v>
      </c>
      <c r="G124" s="26">
        <f t="shared" si="14"/>
        <v>0.3000000000000001</v>
      </c>
      <c r="H124" s="26">
        <f t="shared" ref="H124:I124" si="15">-(H120+H121)/H118</f>
        <v>0.30000000000000004</v>
      </c>
      <c r="I124" s="26">
        <f t="shared" si="15"/>
        <v>0.30000000000000004</v>
      </c>
    </row>
    <row r="126" spans="1:10" x14ac:dyDescent="0.4">
      <c r="E126" s="43"/>
      <c r="F126" s="43"/>
      <c r="G126" s="43"/>
      <c r="H126" s="43"/>
      <c r="I126" s="43"/>
    </row>
    <row r="127" spans="1:10" x14ac:dyDescent="0.4">
      <c r="E127" s="43"/>
      <c r="F127" s="43"/>
      <c r="G127" s="43"/>
      <c r="H127" s="43"/>
      <c r="I127" s="43"/>
    </row>
    <row r="129" spans="1:9" x14ac:dyDescent="0.4">
      <c r="A129" s="37" t="s">
        <v>42</v>
      </c>
      <c r="B129" s="37"/>
      <c r="C129" s="37"/>
      <c r="D129" s="37"/>
      <c r="E129" s="38">
        <v>0.3</v>
      </c>
    </row>
    <row r="130" spans="1:9" x14ac:dyDescent="0.4">
      <c r="A130" s="37" t="s">
        <v>43</v>
      </c>
      <c r="B130" s="37"/>
      <c r="C130" s="37"/>
      <c r="D130" s="37"/>
      <c r="E130" s="38">
        <v>0.7</v>
      </c>
    </row>
    <row r="133" spans="1:9" x14ac:dyDescent="0.4">
      <c r="A133" s="11" t="s">
        <v>61</v>
      </c>
    </row>
    <row r="135" spans="1:9" x14ac:dyDescent="0.4">
      <c r="A135" s="2" t="s">
        <v>62</v>
      </c>
      <c r="D135" s="2">
        <v>5</v>
      </c>
      <c r="E135" s="2" t="s">
        <v>63</v>
      </c>
    </row>
    <row r="136" spans="1:9" x14ac:dyDescent="0.4">
      <c r="A136" s="2" t="s">
        <v>64</v>
      </c>
      <c r="D136" s="10">
        <v>0.06</v>
      </c>
    </row>
    <row r="137" spans="1:9" x14ac:dyDescent="0.4">
      <c r="A137" s="2" t="s">
        <v>65</v>
      </c>
      <c r="D137" s="13">
        <v>500000</v>
      </c>
    </row>
    <row r="138" spans="1:9" x14ac:dyDescent="0.4">
      <c r="A138" s="2" t="s">
        <v>66</v>
      </c>
      <c r="D138" s="13">
        <f>PV(D136,D135,-D137,0,0)</f>
        <v>2106181.8927828595</v>
      </c>
    </row>
    <row r="140" spans="1:9" x14ac:dyDescent="0.4">
      <c r="A140" s="39" t="s">
        <v>67</v>
      </c>
      <c r="B140" s="39"/>
      <c r="C140" s="39"/>
      <c r="D140" s="44">
        <f>+D138</f>
        <v>2106181.8927828595</v>
      </c>
      <c r="E140" s="39"/>
      <c r="H140" s="13">
        <f>+D140/D135</f>
        <v>421236.3785565719</v>
      </c>
    </row>
    <row r="141" spans="1:9" x14ac:dyDescent="0.4">
      <c r="A141" s="39" t="s">
        <v>68</v>
      </c>
      <c r="B141" s="39"/>
      <c r="C141" s="39"/>
      <c r="D141" s="39"/>
      <c r="E141" s="44">
        <f>+D140</f>
        <v>2106181.8927828595</v>
      </c>
    </row>
    <row r="142" spans="1:9" x14ac:dyDescent="0.4">
      <c r="G142" s="46" t="s">
        <v>81</v>
      </c>
      <c r="H142" s="46"/>
      <c r="I142" s="11" t="s">
        <v>83</v>
      </c>
    </row>
    <row r="143" spans="1:9" x14ac:dyDescent="0.4">
      <c r="D143" s="40" t="s">
        <v>69</v>
      </c>
      <c r="E143" s="40" t="s">
        <v>70</v>
      </c>
      <c r="F143" s="40" t="s">
        <v>71</v>
      </c>
      <c r="G143" s="40" t="s">
        <v>72</v>
      </c>
      <c r="H143" s="46" t="s">
        <v>82</v>
      </c>
      <c r="I143" s="11" t="s">
        <v>84</v>
      </c>
    </row>
    <row r="144" spans="1:9" x14ac:dyDescent="0.4">
      <c r="A144" s="2" t="s">
        <v>32</v>
      </c>
      <c r="D144" s="13">
        <f>+D140</f>
        <v>2106181.8927828595</v>
      </c>
      <c r="E144" s="13">
        <f>+D144*$D$136</f>
        <v>126370.91356697156</v>
      </c>
      <c r="F144" s="13">
        <f>-D137</f>
        <v>-500000</v>
      </c>
      <c r="G144" s="13">
        <f>+D144+F144+E144</f>
        <v>1732552.8063498312</v>
      </c>
      <c r="H144" s="13">
        <f>+D140-H140</f>
        <v>1684945.5142262876</v>
      </c>
      <c r="I144" s="13">
        <f>+G144-H144</f>
        <v>47607.292123543564</v>
      </c>
    </row>
    <row r="145" spans="1:9" x14ac:dyDescent="0.4">
      <c r="A145" s="2" t="s">
        <v>33</v>
      </c>
      <c r="D145" s="13">
        <f>+G144</f>
        <v>1732552.8063498312</v>
      </c>
      <c r="E145" s="13">
        <f>+D145*$D$136</f>
        <v>103953.16838098987</v>
      </c>
      <c r="F145" s="13">
        <f>+F144</f>
        <v>-500000</v>
      </c>
      <c r="G145" s="13">
        <f>+D145+F145+E145</f>
        <v>1336505.9747308211</v>
      </c>
      <c r="H145" s="13">
        <f>+H144-H140</f>
        <v>1263709.1356697157</v>
      </c>
      <c r="I145" s="13">
        <f>+G145-H145</f>
        <v>72796.839061105391</v>
      </c>
    </row>
    <row r="146" spans="1:9" x14ac:dyDescent="0.4">
      <c r="A146" s="2" t="s">
        <v>34</v>
      </c>
      <c r="D146" s="13">
        <f t="shared" ref="D146:D148" si="16">+G145</f>
        <v>1336505.9747308211</v>
      </c>
      <c r="E146" s="13">
        <f t="shared" ref="E146:E148" si="17">+D146*$D$136</f>
        <v>80190.358483849268</v>
      </c>
      <c r="F146" s="13">
        <f t="shared" ref="F146:F148" si="18">+F145</f>
        <v>-500000</v>
      </c>
      <c r="G146" s="13">
        <f>+D146+F146+E146</f>
        <v>916696.33321467042</v>
      </c>
      <c r="H146" s="13">
        <f>+H145-H140</f>
        <v>842472.7571131438</v>
      </c>
      <c r="I146" s="13">
        <f>+G146-H146</f>
        <v>74223.576101526618</v>
      </c>
    </row>
    <row r="147" spans="1:9" x14ac:dyDescent="0.4">
      <c r="A147" s="2" t="s">
        <v>35</v>
      </c>
      <c r="D147" s="13">
        <f t="shared" si="16"/>
        <v>916696.33321467042</v>
      </c>
      <c r="E147" s="13">
        <f t="shared" si="17"/>
        <v>55001.77999288022</v>
      </c>
      <c r="F147" s="13">
        <f t="shared" si="18"/>
        <v>-500000</v>
      </c>
      <c r="G147" s="13">
        <f>+D147+F147+E147</f>
        <v>471698.11320755066</v>
      </c>
      <c r="H147" s="13">
        <f>+H146-H140</f>
        <v>421236.3785565719</v>
      </c>
      <c r="I147" s="13">
        <f>+G147-H147</f>
        <v>50461.73465097876</v>
      </c>
    </row>
    <row r="148" spans="1:9" x14ac:dyDescent="0.4">
      <c r="A148" s="2" t="s">
        <v>36</v>
      </c>
      <c r="D148" s="13">
        <f t="shared" si="16"/>
        <v>471698.11320755066</v>
      </c>
      <c r="E148" s="13">
        <f t="shared" si="17"/>
        <v>28301.886792453039</v>
      </c>
      <c r="F148" s="13">
        <f t="shared" si="18"/>
        <v>-500000</v>
      </c>
      <c r="G148" s="13">
        <f>+D148+F148+E148</f>
        <v>3.6998244468122721E-9</v>
      </c>
      <c r="H148" s="13">
        <f>+H147-H140</f>
        <v>0</v>
      </c>
      <c r="I148" s="13">
        <f>+G148-H148</f>
        <v>3.6998244468122721E-9</v>
      </c>
    </row>
    <row r="151" spans="1:9" x14ac:dyDescent="0.4">
      <c r="A151" s="39" t="s">
        <v>76</v>
      </c>
      <c r="B151" s="39"/>
      <c r="C151" s="39"/>
      <c r="D151" s="39"/>
      <c r="E151" s="40" t="s">
        <v>32</v>
      </c>
      <c r="F151" s="40" t="s">
        <v>33</v>
      </c>
      <c r="G151" s="40" t="s">
        <v>34</v>
      </c>
      <c r="H151" s="40" t="s">
        <v>35</v>
      </c>
      <c r="I151" s="40" t="s">
        <v>36</v>
      </c>
    </row>
    <row r="152" spans="1:9" x14ac:dyDescent="0.4">
      <c r="A152" s="2" t="s">
        <v>56</v>
      </c>
      <c r="E152" s="13">
        <f>+E113</f>
        <v>800000</v>
      </c>
      <c r="F152" s="13">
        <f t="shared" ref="F152:I152" si="19">+F113</f>
        <v>800000</v>
      </c>
      <c r="G152" s="13">
        <f t="shared" si="19"/>
        <v>800000</v>
      </c>
      <c r="H152" s="13">
        <f t="shared" si="19"/>
        <v>800000</v>
      </c>
      <c r="I152" s="13">
        <f t="shared" si="19"/>
        <v>800000</v>
      </c>
    </row>
    <row r="153" spans="1:9" x14ac:dyDescent="0.4">
      <c r="A153" s="2" t="s">
        <v>57</v>
      </c>
      <c r="E153" s="13">
        <f>+E114</f>
        <v>-200000</v>
      </c>
      <c r="F153" s="13">
        <f t="shared" ref="F153:I153" si="20">+F114</f>
        <v>-200000</v>
      </c>
      <c r="G153" s="13">
        <f t="shared" si="20"/>
        <v>-200000</v>
      </c>
      <c r="H153" s="13">
        <f t="shared" si="20"/>
        <v>-200000</v>
      </c>
      <c r="I153" s="13">
        <f t="shared" si="20"/>
        <v>-200000</v>
      </c>
    </row>
    <row r="154" spans="1:9" x14ac:dyDescent="0.4">
      <c r="A154" s="2" t="s">
        <v>75</v>
      </c>
      <c r="E154" s="13">
        <f>+F144</f>
        <v>-500000</v>
      </c>
      <c r="F154" s="13">
        <f>+E154</f>
        <v>-500000</v>
      </c>
      <c r="G154" s="13">
        <f t="shared" ref="G154:I154" si="21">+F154</f>
        <v>-500000</v>
      </c>
      <c r="H154" s="13">
        <f t="shared" si="21"/>
        <v>-500000</v>
      </c>
      <c r="I154" s="13">
        <f t="shared" si="21"/>
        <v>-500000</v>
      </c>
    </row>
    <row r="155" spans="1:9" x14ac:dyDescent="0.4">
      <c r="E155" s="13"/>
      <c r="F155" s="13"/>
      <c r="G155" s="13"/>
      <c r="H155" s="13"/>
      <c r="I155" s="13"/>
    </row>
    <row r="156" spans="1:9" x14ac:dyDescent="0.4">
      <c r="A156" s="33" t="s">
        <v>59</v>
      </c>
      <c r="B156" s="33"/>
      <c r="C156" s="33"/>
      <c r="D156" s="33"/>
      <c r="E156" s="41">
        <f>SUM(E152:E155)</f>
        <v>100000</v>
      </c>
      <c r="F156" s="41">
        <f>SUM(F152:F155)</f>
        <v>100000</v>
      </c>
      <c r="G156" s="41">
        <f>SUM(G152:G155)</f>
        <v>100000</v>
      </c>
      <c r="H156" s="41">
        <f>SUM(H152:H155)</f>
        <v>100000</v>
      </c>
      <c r="I156" s="41">
        <f>SUM(I152:I155)</f>
        <v>100000</v>
      </c>
    </row>
    <row r="157" spans="1:9" x14ac:dyDescent="0.4">
      <c r="A157" s="2" t="s">
        <v>77</v>
      </c>
      <c r="E157" s="42">
        <f>+E156*0.3</f>
        <v>30000</v>
      </c>
      <c r="F157" s="42">
        <f t="shared" ref="F157:I157" si="22">+F156*0.3</f>
        <v>30000</v>
      </c>
      <c r="G157" s="42">
        <f t="shared" si="22"/>
        <v>30000</v>
      </c>
      <c r="H157" s="42">
        <f t="shared" si="22"/>
        <v>30000</v>
      </c>
      <c r="I157" s="42">
        <f t="shared" si="22"/>
        <v>30000</v>
      </c>
    </row>
    <row r="160" spans="1:9" x14ac:dyDescent="0.4">
      <c r="E160" s="13">
        <f>E154-SUM(E115:E116)</f>
        <v>47607.292123543448</v>
      </c>
      <c r="F160" s="13">
        <f t="shared" ref="F160:I160" si="23">F154-SUM(F115:F116)</f>
        <v>25189.546937561827</v>
      </c>
      <c r="G160" s="13">
        <f t="shared" si="23"/>
        <v>1426.7370404211688</v>
      </c>
      <c r="H160" s="13">
        <f t="shared" si="23"/>
        <v>-23761.841450547858</v>
      </c>
      <c r="I160" s="13">
        <f t="shared" si="23"/>
        <v>-50461.734650975035</v>
      </c>
    </row>
    <row r="161" spans="1:22" x14ac:dyDescent="0.4">
      <c r="E161" s="2">
        <f>+E160*0.3</f>
        <v>14282.187637063034</v>
      </c>
      <c r="F161" s="2">
        <f t="shared" ref="F161:I161" si="24">+F160*0.3</f>
        <v>7556.864081268548</v>
      </c>
      <c r="G161" s="2">
        <f t="shared" si="24"/>
        <v>428.0211121263506</v>
      </c>
      <c r="H161" s="2">
        <f t="shared" si="24"/>
        <v>-7128.5524351643571</v>
      </c>
      <c r="I161" s="2">
        <f t="shared" si="24"/>
        <v>-15138.520395292509</v>
      </c>
    </row>
    <row r="169" spans="1:22" x14ac:dyDescent="0.4">
      <c r="A169" s="2" t="s">
        <v>2</v>
      </c>
    </row>
    <row r="170" spans="1:22" x14ac:dyDescent="0.4">
      <c r="A170" s="16" t="s">
        <v>3</v>
      </c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</row>
    <row r="171" spans="1:22" x14ac:dyDescent="0.4">
      <c r="A171" s="11" t="s">
        <v>4</v>
      </c>
      <c r="B171" s="11"/>
      <c r="C171" s="11"/>
      <c r="D171" s="12">
        <v>0.3</v>
      </c>
      <c r="H171" s="21"/>
      <c r="I171" s="21" t="s">
        <v>18</v>
      </c>
      <c r="J171" s="21" t="s">
        <v>19</v>
      </c>
      <c r="K171" s="21" t="s">
        <v>20</v>
      </c>
      <c r="L171" s="21" t="s">
        <v>21</v>
      </c>
    </row>
    <row r="172" spans="1:22" x14ac:dyDescent="0.4">
      <c r="A172" s="11"/>
      <c r="B172" s="11"/>
      <c r="C172" s="11"/>
      <c r="D172" s="12"/>
      <c r="H172" s="17" t="s">
        <v>16</v>
      </c>
      <c r="I172" s="18">
        <f>+E174+E179</f>
        <v>510000</v>
      </c>
      <c r="J172" s="18">
        <f>+E174</f>
        <v>500000</v>
      </c>
      <c r="K172" s="18">
        <f>+I172-J172</f>
        <v>10000</v>
      </c>
      <c r="L172" s="19">
        <f>+K172*$D$6</f>
        <v>3000</v>
      </c>
    </row>
    <row r="173" spans="1:22" x14ac:dyDescent="0.4">
      <c r="A173" s="23" t="s">
        <v>9</v>
      </c>
      <c r="B173" s="23"/>
      <c r="C173" s="23"/>
      <c r="E173" s="14" t="s">
        <v>7</v>
      </c>
      <c r="F173" s="14" t="s">
        <v>8</v>
      </c>
      <c r="H173" s="17" t="s">
        <v>17</v>
      </c>
      <c r="I173" s="18">
        <f>+F177+E184</f>
        <v>530000</v>
      </c>
      <c r="J173" s="18">
        <f>+J172</f>
        <v>500000</v>
      </c>
      <c r="K173" s="18">
        <f>+I173-J173</f>
        <v>30000</v>
      </c>
      <c r="L173" s="19">
        <f>+K173*$D$6</f>
        <v>9000</v>
      </c>
    </row>
    <row r="174" spans="1:22" x14ac:dyDescent="0.4">
      <c r="A174" s="39" t="s">
        <v>85</v>
      </c>
      <c r="B174" s="39"/>
      <c r="C174" s="39"/>
      <c r="D174" s="39"/>
      <c r="E174" s="44">
        <v>500000</v>
      </c>
      <c r="F174" s="39"/>
      <c r="H174" s="17" t="s">
        <v>17</v>
      </c>
      <c r="I174" s="18">
        <f>+F187</f>
        <v>555000</v>
      </c>
      <c r="J174" s="18">
        <f>+J173</f>
        <v>500000</v>
      </c>
      <c r="K174" s="18">
        <f>+I174-J174</f>
        <v>55000</v>
      </c>
      <c r="L174" s="19">
        <f>+K174*$D$6</f>
        <v>16500</v>
      </c>
    </row>
    <row r="175" spans="1:22" x14ac:dyDescent="0.4">
      <c r="A175" s="39" t="s">
        <v>6</v>
      </c>
      <c r="B175" s="39"/>
      <c r="C175" s="39"/>
      <c r="D175" s="39"/>
      <c r="E175" s="39"/>
      <c r="F175" s="44">
        <f>+E174</f>
        <v>500000</v>
      </c>
    </row>
    <row r="177" spans="1:12" x14ac:dyDescent="0.4">
      <c r="A177" s="23" t="s">
        <v>10</v>
      </c>
      <c r="B177" s="23"/>
      <c r="C177" s="23"/>
      <c r="F177" s="13">
        <v>510000</v>
      </c>
      <c r="H177" s="22" t="s">
        <v>22</v>
      </c>
    </row>
    <row r="178" spans="1:12" x14ac:dyDescent="0.4">
      <c r="E178" s="14" t="s">
        <v>7</v>
      </c>
      <c r="F178" s="14" t="s">
        <v>8</v>
      </c>
      <c r="J178" s="14" t="s">
        <v>7</v>
      </c>
      <c r="K178" s="14" t="s">
        <v>8</v>
      </c>
    </row>
    <row r="179" spans="1:12" x14ac:dyDescent="0.4">
      <c r="A179" s="2" t="s">
        <v>85</v>
      </c>
      <c r="E179" s="13">
        <f>+F177-E174</f>
        <v>10000</v>
      </c>
      <c r="H179" s="2" t="s">
        <v>13</v>
      </c>
      <c r="J179" s="20">
        <f>+E179*D171</f>
        <v>3000</v>
      </c>
      <c r="L179" s="13">
        <f>+J179</f>
        <v>3000</v>
      </c>
    </row>
    <row r="180" spans="1:12" x14ac:dyDescent="0.4">
      <c r="A180" s="2" t="s">
        <v>12</v>
      </c>
      <c r="F180" s="13">
        <f>+E179</f>
        <v>10000</v>
      </c>
      <c r="H180" s="2" t="s">
        <v>14</v>
      </c>
      <c r="K180" s="13">
        <f>+J179</f>
        <v>3000</v>
      </c>
    </row>
    <row r="182" spans="1:12" x14ac:dyDescent="0.4">
      <c r="A182" s="23" t="s">
        <v>15</v>
      </c>
      <c r="B182" s="23"/>
      <c r="C182" s="23"/>
      <c r="F182" s="13">
        <v>530000</v>
      </c>
    </row>
    <row r="183" spans="1:12" x14ac:dyDescent="0.4">
      <c r="E183" s="14" t="s">
        <v>7</v>
      </c>
      <c r="F183" s="14" t="s">
        <v>8</v>
      </c>
      <c r="J183" s="14" t="s">
        <v>7</v>
      </c>
      <c r="K183" s="14" t="s">
        <v>8</v>
      </c>
    </row>
    <row r="184" spans="1:12" x14ac:dyDescent="0.4">
      <c r="A184" s="2" t="s">
        <v>85</v>
      </c>
      <c r="E184" s="13">
        <f>+F182-F177</f>
        <v>20000</v>
      </c>
      <c r="H184" s="2" t="s">
        <v>13</v>
      </c>
      <c r="J184" s="20">
        <f>+E184*$D$6</f>
        <v>6000</v>
      </c>
      <c r="L184" s="13">
        <f>+L179+J184</f>
        <v>9000</v>
      </c>
    </row>
    <row r="185" spans="1:12" x14ac:dyDescent="0.4">
      <c r="A185" s="2" t="s">
        <v>12</v>
      </c>
      <c r="F185" s="13">
        <f>+E184</f>
        <v>20000</v>
      </c>
      <c r="H185" s="2" t="s">
        <v>14</v>
      </c>
      <c r="K185" s="13">
        <f>+J184</f>
        <v>6000</v>
      </c>
    </row>
    <row r="187" spans="1:12" x14ac:dyDescent="0.4">
      <c r="A187" s="23" t="s">
        <v>23</v>
      </c>
      <c r="B187" s="23"/>
      <c r="C187" s="23"/>
      <c r="F187" s="13">
        <v>555000</v>
      </c>
    </row>
    <row r="188" spans="1:12" x14ac:dyDescent="0.4">
      <c r="E188" s="14" t="s">
        <v>7</v>
      </c>
      <c r="F188" s="14" t="s">
        <v>8</v>
      </c>
      <c r="J188" s="14" t="s">
        <v>7</v>
      </c>
      <c r="K188" s="14" t="s">
        <v>8</v>
      </c>
    </row>
    <row r="189" spans="1:12" x14ac:dyDescent="0.4">
      <c r="A189" s="2" t="s">
        <v>85</v>
      </c>
      <c r="E189" s="13">
        <f>+F187-F182</f>
        <v>25000</v>
      </c>
      <c r="H189" s="2" t="s">
        <v>13</v>
      </c>
      <c r="J189" s="20">
        <f>+E189*$D$6</f>
        <v>7500</v>
      </c>
      <c r="L189" s="13">
        <f>+L184+J189</f>
        <v>16500</v>
      </c>
    </row>
    <row r="190" spans="1:12" x14ac:dyDescent="0.4">
      <c r="A190" s="2" t="s">
        <v>12</v>
      </c>
      <c r="F190" s="13">
        <f>+E189</f>
        <v>25000</v>
      </c>
      <c r="H190" s="2" t="s">
        <v>14</v>
      </c>
      <c r="K190" s="13">
        <f>+J189</f>
        <v>7500</v>
      </c>
    </row>
    <row r="194" spans="1:9" x14ac:dyDescent="0.4">
      <c r="C194" s="11" t="s">
        <v>91</v>
      </c>
      <c r="G194" s="62" t="s">
        <v>33</v>
      </c>
    </row>
    <row r="195" spans="1:9" x14ac:dyDescent="0.4">
      <c r="G195" s="46"/>
    </row>
    <row r="196" spans="1:9" x14ac:dyDescent="0.4">
      <c r="C196" s="11" t="s">
        <v>86</v>
      </c>
      <c r="D196" s="11"/>
      <c r="E196" s="11"/>
      <c r="F196" s="11"/>
      <c r="G196" s="24">
        <v>900000</v>
      </c>
    </row>
    <row r="198" spans="1:9" x14ac:dyDescent="0.4">
      <c r="A198" s="2" t="s">
        <v>97</v>
      </c>
      <c r="C198" s="2" t="s">
        <v>87</v>
      </c>
      <c r="G198" s="13">
        <f>+E145</f>
        <v>103953.16838098987</v>
      </c>
    </row>
    <row r="199" spans="1:9" x14ac:dyDescent="0.4">
      <c r="A199" s="2" t="s">
        <v>97</v>
      </c>
      <c r="C199" s="2" t="s">
        <v>88</v>
      </c>
      <c r="G199" s="13">
        <f>+H140</f>
        <v>421236.3785565719</v>
      </c>
    </row>
    <row r="200" spans="1:9" x14ac:dyDescent="0.4">
      <c r="A200" s="2" t="s">
        <v>97</v>
      </c>
      <c r="C200" s="2" t="s">
        <v>89</v>
      </c>
      <c r="G200" s="13">
        <f>F144</f>
        <v>-500000</v>
      </c>
    </row>
    <row r="201" spans="1:9" ht="27" thickBot="1" x14ac:dyDescent="0.45">
      <c r="G201" s="13"/>
    </row>
    <row r="202" spans="1:9" x14ac:dyDescent="0.4">
      <c r="C202" s="2" t="s">
        <v>96</v>
      </c>
      <c r="G202" s="13">
        <v>100000</v>
      </c>
      <c r="H202" s="47" t="s">
        <v>98</v>
      </c>
      <c r="I202" s="65">
        <f>+G202*F206</f>
        <v>30000</v>
      </c>
    </row>
    <row r="203" spans="1:9" ht="27" thickBot="1" x14ac:dyDescent="0.45">
      <c r="H203" s="51" t="s">
        <v>99</v>
      </c>
      <c r="I203" s="66">
        <f>+I202/G196</f>
        <v>3.3333333333333333E-2</v>
      </c>
    </row>
    <row r="204" spans="1:9" x14ac:dyDescent="0.4">
      <c r="C204" s="11" t="s">
        <v>90</v>
      </c>
      <c r="D204" s="11"/>
      <c r="E204" s="11"/>
      <c r="F204" s="11"/>
      <c r="G204" s="24">
        <f>SUM(G196:G203)</f>
        <v>1025189.5469375618</v>
      </c>
    </row>
    <row r="205" spans="1:9" ht="27" thickBot="1" x14ac:dyDescent="0.45"/>
    <row r="206" spans="1:9" x14ac:dyDescent="0.4">
      <c r="C206" s="52" t="s">
        <v>92</v>
      </c>
      <c r="D206" s="53"/>
      <c r="E206" s="53"/>
      <c r="F206" s="57">
        <v>0.3</v>
      </c>
      <c r="G206" s="58">
        <f>-G204*F206</f>
        <v>-307556.86408126855</v>
      </c>
    </row>
    <row r="207" spans="1:9" x14ac:dyDescent="0.4">
      <c r="C207" s="54" t="s">
        <v>93</v>
      </c>
      <c r="D207" s="55"/>
      <c r="E207" s="55"/>
      <c r="F207" s="59">
        <v>0.3</v>
      </c>
      <c r="G207" s="63">
        <f>SUM(G198:G200)*F207</f>
        <v>7556.864081268548</v>
      </c>
    </row>
    <row r="208" spans="1:9" ht="27" thickBot="1" x14ac:dyDescent="0.45">
      <c r="C208" s="61" t="s">
        <v>94</v>
      </c>
      <c r="D208" s="56"/>
      <c r="E208" s="56"/>
      <c r="F208" s="56"/>
      <c r="G208" s="60">
        <f>+G206+G207</f>
        <v>-300000</v>
      </c>
    </row>
    <row r="209" spans="1:10" ht="27" thickBot="1" x14ac:dyDescent="0.45">
      <c r="C209" s="61" t="s">
        <v>95</v>
      </c>
      <c r="D209" s="56"/>
      <c r="E209" s="56"/>
      <c r="F209" s="56"/>
      <c r="G209" s="64">
        <f>+-G208/G196</f>
        <v>0.33333333333333331</v>
      </c>
    </row>
    <row r="215" spans="1:10" x14ac:dyDescent="0.4">
      <c r="C215" s="11" t="s">
        <v>91</v>
      </c>
      <c r="G215" s="62" t="s">
        <v>34</v>
      </c>
    </row>
    <row r="216" spans="1:10" ht="27" thickBot="1" x14ac:dyDescent="0.45">
      <c r="G216" s="46"/>
    </row>
    <row r="217" spans="1:10" x14ac:dyDescent="0.4">
      <c r="C217" s="11" t="s">
        <v>86</v>
      </c>
      <c r="D217" s="11"/>
      <c r="E217" s="11"/>
      <c r="F217" s="11"/>
      <c r="G217" s="24">
        <v>1000000</v>
      </c>
      <c r="I217" s="72" t="s">
        <v>100</v>
      </c>
      <c r="J217" s="73">
        <f>+G217</f>
        <v>1000000</v>
      </c>
    </row>
    <row r="218" spans="1:10" x14ac:dyDescent="0.4">
      <c r="I218" s="49" t="s">
        <v>101</v>
      </c>
      <c r="J218" s="70">
        <f>-(G217+G223)*0.3</f>
        <v>-360000</v>
      </c>
    </row>
    <row r="219" spans="1:10" ht="27" thickBot="1" x14ac:dyDescent="0.45">
      <c r="A219" s="2" t="s">
        <v>97</v>
      </c>
      <c r="C219" s="2" t="s">
        <v>87</v>
      </c>
      <c r="G219" s="67">
        <f>+E146</f>
        <v>80190.358483849268</v>
      </c>
      <c r="I219" s="74" t="s">
        <v>102</v>
      </c>
      <c r="J219" s="75">
        <f>+J217+J218</f>
        <v>640000</v>
      </c>
    </row>
    <row r="220" spans="1:10" x14ac:dyDescent="0.4">
      <c r="A220" s="2" t="s">
        <v>97</v>
      </c>
      <c r="C220" s="2" t="s">
        <v>88</v>
      </c>
      <c r="G220" s="67">
        <f>+H140</f>
        <v>421236.3785565719</v>
      </c>
    </row>
    <row r="221" spans="1:10" x14ac:dyDescent="0.4">
      <c r="A221" s="2" t="s">
        <v>97</v>
      </c>
      <c r="C221" s="2" t="s">
        <v>89</v>
      </c>
      <c r="G221" s="67">
        <f>+F146</f>
        <v>-500000</v>
      </c>
    </row>
    <row r="222" spans="1:10" x14ac:dyDescent="0.4">
      <c r="G222" s="13"/>
    </row>
    <row r="223" spans="1:10" x14ac:dyDescent="0.4">
      <c r="C223" s="2" t="s">
        <v>96</v>
      </c>
      <c r="G223" s="13">
        <v>200000</v>
      </c>
    </row>
    <row r="225" spans="3:7" x14ac:dyDescent="0.4">
      <c r="C225" s="11" t="s">
        <v>90</v>
      </c>
      <c r="D225" s="11"/>
      <c r="E225" s="11"/>
      <c r="F225" s="11"/>
      <c r="G225" s="24">
        <f>SUM(G217:G224)</f>
        <v>1201426.7370404212</v>
      </c>
    </row>
    <row r="226" spans="3:7" ht="27" thickBot="1" x14ac:dyDescent="0.45"/>
    <row r="227" spans="3:7" x14ac:dyDescent="0.4">
      <c r="C227" s="52" t="s">
        <v>92</v>
      </c>
      <c r="D227" s="53"/>
      <c r="E227" s="53"/>
      <c r="F227" s="57">
        <v>0.3</v>
      </c>
      <c r="G227" s="58">
        <f>-G225*F227</f>
        <v>-360428.02111212636</v>
      </c>
    </row>
    <row r="228" spans="3:7" x14ac:dyDescent="0.4">
      <c r="C228" s="54" t="s">
        <v>93</v>
      </c>
      <c r="D228" s="55"/>
      <c r="E228" s="55"/>
      <c r="F228" s="59">
        <v>0.3</v>
      </c>
      <c r="G228" s="63">
        <f>SUM(G219:G221)*F228</f>
        <v>428.0211121263506</v>
      </c>
    </row>
    <row r="229" spans="3:7" ht="27" thickBot="1" x14ac:dyDescent="0.45">
      <c r="C229" s="76" t="s">
        <v>94</v>
      </c>
      <c r="D229" s="77"/>
      <c r="E229" s="77"/>
      <c r="F229" s="77"/>
      <c r="G229" s="78">
        <f>+G227+G228</f>
        <v>-360000</v>
      </c>
    </row>
    <row r="230" spans="3:7" ht="27" thickBot="1" x14ac:dyDescent="0.45">
      <c r="C230" s="61" t="s">
        <v>95</v>
      </c>
      <c r="D230" s="56"/>
      <c r="E230" s="56"/>
      <c r="F230" s="56"/>
      <c r="G230" s="64">
        <f>+-G229/G217</f>
        <v>0.36</v>
      </c>
    </row>
    <row r="236" spans="3:7" ht="27" thickBot="1" x14ac:dyDescent="0.45"/>
    <row r="237" spans="3:7" x14ac:dyDescent="0.4">
      <c r="C237" s="68" t="s">
        <v>91</v>
      </c>
      <c r="D237" s="48"/>
      <c r="E237" s="48"/>
      <c r="F237" s="48"/>
      <c r="G237" s="79" t="s">
        <v>34</v>
      </c>
    </row>
    <row r="238" spans="3:7" x14ac:dyDescent="0.4">
      <c r="C238" s="49"/>
      <c r="G238" s="80"/>
    </row>
    <row r="239" spans="3:7" x14ac:dyDescent="0.4">
      <c r="C239" s="81" t="s">
        <v>86</v>
      </c>
      <c r="D239" s="11"/>
      <c r="E239" s="11"/>
      <c r="F239" s="11"/>
      <c r="G239" s="70">
        <v>3000000</v>
      </c>
    </row>
    <row r="240" spans="3:7" x14ac:dyDescent="0.4">
      <c r="C240" s="82" t="s">
        <v>103</v>
      </c>
      <c r="G240" s="50"/>
    </row>
    <row r="241" spans="3:7" x14ac:dyDescent="0.4">
      <c r="C241" s="49" t="s">
        <v>87</v>
      </c>
      <c r="G241" s="83">
        <f ca="1">RANDBETWEEN(100,500)*1000</f>
        <v>483000</v>
      </c>
    </row>
    <row r="242" spans="3:7" x14ac:dyDescent="0.4">
      <c r="C242" s="49" t="s">
        <v>88</v>
      </c>
      <c r="G242" s="83">
        <f ca="1">RANDBETWEEN(100,500)*1000</f>
        <v>263000</v>
      </c>
    </row>
    <row r="243" spans="3:7" x14ac:dyDescent="0.4">
      <c r="C243" s="49" t="s">
        <v>89</v>
      </c>
      <c r="G243" s="83">
        <f ca="1">-RANDBETWEEN(100,500)*1000</f>
        <v>-353000</v>
      </c>
    </row>
    <row r="244" spans="3:7" x14ac:dyDescent="0.4">
      <c r="C244" s="49"/>
      <c r="G244" s="84"/>
    </row>
    <row r="245" spans="3:7" x14ac:dyDescent="0.4">
      <c r="C245" s="49" t="s">
        <v>96</v>
      </c>
      <c r="G245" s="84">
        <v>500000</v>
      </c>
    </row>
    <row r="246" spans="3:7" x14ac:dyDescent="0.4">
      <c r="C246" s="49"/>
      <c r="G246" s="50"/>
    </row>
    <row r="247" spans="3:7" ht="27" thickBot="1" x14ac:dyDescent="0.45">
      <c r="C247" s="85" t="s">
        <v>90</v>
      </c>
      <c r="D247" s="86"/>
      <c r="E247" s="86"/>
      <c r="F247" s="86"/>
      <c r="G247" s="71">
        <f ca="1">SUM(G239:G246)</f>
        <v>3893000</v>
      </c>
    </row>
    <row r="249" spans="3:7" ht="27" thickBot="1" x14ac:dyDescent="0.45"/>
    <row r="250" spans="3:7" x14ac:dyDescent="0.4">
      <c r="C250" s="68" t="s">
        <v>59</v>
      </c>
      <c r="D250" s="89"/>
      <c r="E250" s="89"/>
      <c r="F250" s="89"/>
      <c r="G250" s="69">
        <f>+G239</f>
        <v>3000000</v>
      </c>
    </row>
    <row r="251" spans="3:7" x14ac:dyDescent="0.4">
      <c r="C251" s="49" t="s">
        <v>104</v>
      </c>
      <c r="G251" s="70">
        <f>-(G239+G245)*0.3</f>
        <v>-1050000</v>
      </c>
    </row>
    <row r="252" spans="3:7" ht="27" thickBot="1" x14ac:dyDescent="0.45">
      <c r="C252" s="85" t="s">
        <v>41</v>
      </c>
      <c r="D252" s="86"/>
      <c r="E252" s="86"/>
      <c r="F252" s="86"/>
      <c r="G252" s="71">
        <f>+G250+G251</f>
        <v>1950000</v>
      </c>
    </row>
    <row r="255" spans="3:7" x14ac:dyDescent="0.4">
      <c r="C255" s="2" t="s">
        <v>105</v>
      </c>
      <c r="F255" s="10">
        <v>0.3</v>
      </c>
      <c r="G255" s="24">
        <f ca="1">-G247*F255</f>
        <v>-1167900</v>
      </c>
    </row>
    <row r="256" spans="3:7" x14ac:dyDescent="0.4">
      <c r="C256" s="2" t="s">
        <v>106</v>
      </c>
      <c r="F256" s="10">
        <v>0.3</v>
      </c>
      <c r="G256" s="24">
        <f ca="1">SUM(G241:G243)*F256</f>
        <v>117900</v>
      </c>
    </row>
    <row r="257" spans="3:7" x14ac:dyDescent="0.4">
      <c r="C257" s="87"/>
      <c r="D257" s="87"/>
      <c r="E257" s="87"/>
      <c r="F257" s="87"/>
      <c r="G257" s="88">
        <f ca="1">+G255+G256</f>
        <v>-1050000</v>
      </c>
    </row>
  </sheetData>
  <phoneticPr fontId="1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F606-00DE-45B7-A588-F0CAF8FA36DA}">
  <dimension ref="A1:U1"/>
  <sheetViews>
    <sheetView workbookViewId="0">
      <selection activeCell="H40" sqref="H40"/>
    </sheetView>
  </sheetViews>
  <sheetFormatPr baseColWidth="10" defaultRowHeight="15" x14ac:dyDescent="0.25"/>
  <cols>
    <col min="1" max="21" width="11.42578125" style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DC87A-4B3D-4079-AEAF-5EC57A1DFF66}">
  <dimension ref="A1:W1"/>
  <sheetViews>
    <sheetView workbookViewId="0">
      <selection activeCell="D30" sqref="D30"/>
    </sheetView>
  </sheetViews>
  <sheetFormatPr baseColWidth="10" defaultRowHeight="15" x14ac:dyDescent="0.25"/>
  <cols>
    <col min="1" max="23" width="11.42578125" style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2025-06-20T03:14:26Z</dcterms:created>
  <dcterms:modified xsi:type="dcterms:W3CDTF">2025-07-17T15:44:46Z</dcterms:modified>
</cp:coreProperties>
</file>