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0310D941-C0BA-4050-B335-067AA589E323}" xr6:coauthVersionLast="47" xr6:coauthVersionMax="47" xr10:uidLastSave="{00000000-0000-0000-0000-000000000000}"/>
  <bookViews>
    <workbookView xWindow="-120" yWindow="-120" windowWidth="29040" windowHeight="15720" firstSheet="1" activeTab="1" xr2:uid="{93958E47-4EFE-4A53-986B-795645448B4F}"/>
  </bookViews>
  <sheets>
    <sheet name="Hoja1" sheetId="1" state="hidden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" l="1"/>
  <c r="R7" i="2"/>
  <c r="Q7" i="2"/>
  <c r="R6" i="2"/>
  <c r="Q6" i="2"/>
  <c r="R5" i="2"/>
  <c r="Q5" i="2"/>
  <c r="M10" i="2"/>
  <c r="K24" i="2"/>
  <c r="L22" i="2"/>
  <c r="K21" i="2"/>
  <c r="L19" i="2"/>
  <c r="K18" i="2"/>
  <c r="G47" i="2"/>
  <c r="K48" i="2" s="1"/>
  <c r="E49" i="2"/>
  <c r="E43" i="2"/>
  <c r="G41" i="2"/>
  <c r="K42" i="2" s="1"/>
  <c r="G35" i="2"/>
  <c r="E37" i="2"/>
  <c r="E36" i="2"/>
  <c r="E38" i="2" s="1"/>
  <c r="K36" i="2"/>
  <c r="G29" i="2"/>
  <c r="K30" i="2" s="1"/>
  <c r="G13" i="2"/>
  <c r="K14" i="2" s="1"/>
  <c r="F3" i="2"/>
  <c r="G3" i="2" s="1"/>
  <c r="H3" i="2" s="1"/>
  <c r="I3" i="2" s="1"/>
  <c r="J3" i="2" s="1"/>
  <c r="K3" i="2" s="1"/>
  <c r="L3" i="2" s="1"/>
  <c r="M3" i="2" s="1"/>
  <c r="B9" i="2"/>
  <c r="E31" i="2" s="1"/>
  <c r="B8" i="2"/>
  <c r="E42" i="2" s="1"/>
  <c r="C7" i="1"/>
  <c r="C6" i="1"/>
  <c r="C5" i="1"/>
  <c r="B7" i="1"/>
  <c r="B6" i="1"/>
  <c r="B5" i="1"/>
  <c r="I2" i="1"/>
  <c r="E3" i="1"/>
  <c r="E4" i="1" s="1"/>
  <c r="E5" i="1" s="1"/>
  <c r="E6" i="1" s="1"/>
  <c r="E7" i="1" s="1"/>
  <c r="E8" i="1" s="1"/>
  <c r="E9" i="1" s="1"/>
  <c r="E10" i="1" s="1"/>
  <c r="E11" i="1" s="1"/>
  <c r="E12" i="1" s="1"/>
  <c r="F3" i="1" s="1"/>
  <c r="F4" i="1" s="1"/>
  <c r="E14" i="2" l="1"/>
  <c r="E48" i="2"/>
  <c r="E50" i="2" s="1"/>
  <c r="G50" i="2" s="1"/>
  <c r="L50" i="2" s="1"/>
  <c r="K49" i="2" s="1"/>
  <c r="E15" i="2"/>
  <c r="G38" i="2"/>
  <c r="L38" i="2" s="1"/>
  <c r="L37" i="2" s="1"/>
  <c r="E44" i="2"/>
  <c r="G44" i="2" s="1"/>
  <c r="L44" i="2" s="1"/>
  <c r="L43" i="2" s="1"/>
  <c r="E30" i="2"/>
  <c r="E32" i="2" s="1"/>
  <c r="G32" i="2" s="1"/>
  <c r="L32" i="2" s="1"/>
  <c r="L31" i="2" s="1"/>
  <c r="L4" i="2"/>
  <c r="L6" i="2" s="1"/>
  <c r="L7" i="2" s="1"/>
  <c r="H5" i="2"/>
  <c r="N3" i="2"/>
  <c r="N4" i="2" s="1"/>
  <c r="N6" i="2" s="1"/>
  <c r="N7" i="2" s="1"/>
  <c r="M4" i="2"/>
  <c r="M6" i="2" s="1"/>
  <c r="M7" i="2" s="1"/>
  <c r="E5" i="2"/>
  <c r="F5" i="2"/>
  <c r="G5" i="2"/>
  <c r="G4" i="2"/>
  <c r="H4" i="2"/>
  <c r="E4" i="2"/>
  <c r="F4" i="2"/>
  <c r="F6" i="2" s="1"/>
  <c r="F7" i="2" s="1"/>
  <c r="I4" i="2"/>
  <c r="I6" i="2" s="1"/>
  <c r="I7" i="2" s="1"/>
  <c r="J4" i="2"/>
  <c r="J6" i="2" s="1"/>
  <c r="J7" i="2" s="1"/>
  <c r="J8" i="2" s="1"/>
  <c r="K4" i="2"/>
  <c r="K6" i="2" s="1"/>
  <c r="K7" i="2" s="1"/>
  <c r="K8" i="2" s="1"/>
  <c r="E6" i="2" l="1"/>
  <c r="E7" i="2" s="1"/>
  <c r="E8" i="2" s="1"/>
  <c r="N8" i="2"/>
  <c r="F8" i="2"/>
  <c r="E16" i="2"/>
  <c r="G16" i="2" s="1"/>
  <c r="L16" i="2" s="1"/>
  <c r="L15" i="2" s="1"/>
  <c r="M31" i="2" s="1"/>
  <c r="M37" i="2" s="1"/>
  <c r="M43" i="2" s="1"/>
  <c r="M49" i="2" s="1"/>
  <c r="H6" i="2"/>
  <c r="H7" i="2" s="1"/>
  <c r="M8" i="2"/>
  <c r="G6" i="2"/>
  <c r="G7" i="2" s="1"/>
  <c r="G8" i="2" s="1"/>
  <c r="I8" i="2"/>
  <c r="L8" i="2"/>
  <c r="H8" i="2" l="1"/>
  <c r="I3" i="1" l="1"/>
  <c r="F5" i="1" l="1"/>
  <c r="I4" i="1"/>
  <c r="F6" i="1" l="1"/>
  <c r="I5" i="1"/>
  <c r="F7" i="1" l="1"/>
  <c r="I6" i="1"/>
  <c r="I7" i="1" l="1"/>
  <c r="F8" i="1"/>
  <c r="F9" i="1" l="1"/>
  <c r="I8" i="1"/>
  <c r="I9" i="1" l="1"/>
  <c r="F10" i="1"/>
  <c r="I10" i="1" l="1"/>
  <c r="F11" i="1"/>
  <c r="I11" i="1" l="1"/>
  <c r="F12" i="1"/>
  <c r="I12" i="1" s="1"/>
  <c r="I1" i="1" l="1"/>
</calcChain>
</file>

<file path=xl/sharedStrings.xml><?xml version="1.0" encoding="utf-8"?>
<sst xmlns="http://schemas.openxmlformats.org/spreadsheetml/2006/main" count="106" uniqueCount="53">
  <si>
    <t>TASA</t>
  </si>
  <si>
    <t>NOMINAL</t>
  </si>
  <si>
    <t>EFECTIVA</t>
  </si>
  <si>
    <t>ANUAL</t>
  </si>
  <si>
    <t>MENSUAL</t>
  </si>
  <si>
    <t>BIMESTRAL</t>
  </si>
  <si>
    <t>TRIMESTRAL</t>
  </si>
  <si>
    <t>Comisión</t>
  </si>
  <si>
    <t>Honorario</t>
  </si>
  <si>
    <t>LA NECESIDAD DEL PASIVO POR IRD</t>
  </si>
  <si>
    <t>MAQUINARIA</t>
  </si>
  <si>
    <t>COSTO</t>
  </si>
  <si>
    <t>COMPRADO EN LEASING</t>
  </si>
  <si>
    <t>PLAZO DE</t>
  </si>
  <si>
    <t>años</t>
  </si>
  <si>
    <t>VIDA UTIL</t>
  </si>
  <si>
    <t>GASTO</t>
  </si>
  <si>
    <t>NIC16</t>
  </si>
  <si>
    <t>TAX</t>
  </si>
  <si>
    <t>COMO LO DICEN LOS "EXPERTOS"</t>
  </si>
  <si>
    <t>Año 1</t>
  </si>
  <si>
    <t>Año 2</t>
  </si>
  <si>
    <t>Año 3</t>
  </si>
  <si>
    <t>Año 4</t>
  </si>
  <si>
    <t>Año 5</t>
  </si>
  <si>
    <t>Valor en L</t>
  </si>
  <si>
    <t>Base Tax</t>
  </si>
  <si>
    <t>Dif Temporaria</t>
  </si>
  <si>
    <t>Pasivo IRD</t>
  </si>
  <si>
    <t>Valor en L &gt; Base Tax ===&gt;&gt; Pasivos IRD</t>
  </si>
  <si>
    <t>IRD del año</t>
  </si>
  <si>
    <t>Utilidad contable</t>
  </si>
  <si>
    <t>(+) Dep NIC16</t>
  </si>
  <si>
    <t>(-) Dep TAX</t>
  </si>
  <si>
    <t>Utilidad tributaria</t>
  </si>
  <si>
    <t>Impuesto:</t>
  </si>
  <si>
    <t>Debo pagar</t>
  </si>
  <si>
    <t>Justo gasto</t>
  </si>
  <si>
    <t>Gasto IR</t>
  </si>
  <si>
    <t>D</t>
  </si>
  <si>
    <t>H</t>
  </si>
  <si>
    <t>Imp por pagar</t>
  </si>
  <si>
    <t>CONTINUE USTED CON LOS DEMAS AÑOS</t>
  </si>
  <si>
    <t>Impuesto por pagar</t>
  </si>
  <si>
    <t>882 Impuesto diferido</t>
  </si>
  <si>
    <t>Efecto enr esultados</t>
  </si>
  <si>
    <t>881 Gasto por IRC</t>
  </si>
  <si>
    <t>Pasivo IRD al 31.12.X9</t>
  </si>
  <si>
    <t>NIIF</t>
  </si>
  <si>
    <t>VENTA</t>
  </si>
  <si>
    <t>COSTO ENAJ</t>
  </si>
  <si>
    <t>UTILIDAD</t>
  </si>
  <si>
    <t>IMPX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</si>
</sst>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3" borderId="0" xfId="0" applyFont="1" applyFill="1"/>
    <xf numFmtId="10" fontId="4" fillId="3" borderId="0" xfId="0" applyNumberFormat="1" applyFont="1" applyFill="1"/>
    <xf numFmtId="0" fontId="0" fillId="4" borderId="0" xfId="0" applyFill="1"/>
    <xf numFmtId="10" fontId="0" fillId="4" borderId="0" xfId="0" applyNumberFormat="1" applyFill="1"/>
    <xf numFmtId="3" fontId="0" fillId="0" borderId="0" xfId="0" applyNumberFormat="1"/>
    <xf numFmtId="10" fontId="3" fillId="4" borderId="0" xfId="0" applyNumberFormat="1" applyFont="1" applyFill="1"/>
    <xf numFmtId="0" fontId="0" fillId="2" borderId="0" xfId="0" applyFont="1" applyFill="1" applyAlignment="1">
      <alignment horizontal="center"/>
    </xf>
    <xf numFmtId="10" fontId="0" fillId="4" borderId="0" xfId="0" applyNumberFormat="1" applyFont="1" applyFill="1"/>
    <xf numFmtId="0" fontId="3" fillId="0" borderId="0" xfId="0" applyFont="1"/>
    <xf numFmtId="3" fontId="3" fillId="0" borderId="0" xfId="0" applyNumberFormat="1" applyFont="1"/>
    <xf numFmtId="0" fontId="0" fillId="0" borderId="0" xfId="0" applyFont="1"/>
    <xf numFmtId="3" fontId="0" fillId="0" borderId="0" xfId="0" applyNumberFormat="1" applyFont="1"/>
    <xf numFmtId="166" fontId="0" fillId="0" borderId="0" xfId="1" applyNumberFormat="1" applyFont="1"/>
    <xf numFmtId="166" fontId="3" fillId="0" borderId="0" xfId="1" applyNumberFormat="1" applyFont="1"/>
    <xf numFmtId="166" fontId="2" fillId="5" borderId="0" xfId="1" applyNumberFormat="1" applyFont="1" applyFill="1"/>
    <xf numFmtId="166" fontId="5" fillId="5" borderId="0" xfId="1" applyNumberFormat="1" applyFont="1" applyFill="1"/>
    <xf numFmtId="166" fontId="0" fillId="6" borderId="1" xfId="1" applyNumberFormat="1" applyFont="1" applyFill="1" applyBorder="1"/>
    <xf numFmtId="166" fontId="0" fillId="6" borderId="2" xfId="1" applyNumberFormat="1" applyFont="1" applyFill="1" applyBorder="1"/>
    <xf numFmtId="166" fontId="0" fillId="6" borderId="3" xfId="1" applyNumberFormat="1" applyFont="1" applyFill="1" applyBorder="1"/>
    <xf numFmtId="166" fontId="0" fillId="6" borderId="4" xfId="1" applyNumberFormat="1" applyFont="1" applyFill="1" applyBorder="1"/>
    <xf numFmtId="166" fontId="0" fillId="6" borderId="0" xfId="1" applyNumberFormat="1" applyFont="1" applyFill="1" applyBorder="1"/>
    <xf numFmtId="166" fontId="0" fillId="6" borderId="5" xfId="1" applyNumberFormat="1" applyFont="1" applyFill="1" applyBorder="1"/>
    <xf numFmtId="166" fontId="0" fillId="6" borderId="6" xfId="1" applyNumberFormat="1" applyFont="1" applyFill="1" applyBorder="1"/>
    <xf numFmtId="166" fontId="0" fillId="6" borderId="7" xfId="1" applyNumberFormat="1" applyFont="1" applyFill="1" applyBorder="1"/>
    <xf numFmtId="166" fontId="0" fillId="6" borderId="8" xfId="1" applyNumberFormat="1" applyFont="1" applyFill="1" applyBorder="1"/>
    <xf numFmtId="166" fontId="0" fillId="0" borderId="2" xfId="1" applyNumberFormat="1" applyFont="1" applyBorder="1"/>
    <xf numFmtId="166" fontId="0" fillId="0" borderId="4" xfId="1" applyNumberFormat="1" applyFont="1" applyBorder="1"/>
    <xf numFmtId="166" fontId="0" fillId="0" borderId="0" xfId="1" applyNumberFormat="1" applyFont="1" applyBorder="1"/>
    <xf numFmtId="166" fontId="3" fillId="7" borderId="1" xfId="1" applyNumberFormat="1" applyFont="1" applyFill="1" applyBorder="1"/>
    <xf numFmtId="166" fontId="0" fillId="7" borderId="2" xfId="1" applyNumberFormat="1" applyFont="1" applyFill="1" applyBorder="1"/>
    <xf numFmtId="166" fontId="0" fillId="7" borderId="3" xfId="1" applyNumberFormat="1" applyFont="1" applyFill="1" applyBorder="1"/>
    <xf numFmtId="166" fontId="0" fillId="7" borderId="4" xfId="1" applyNumberFormat="1" applyFont="1" applyFill="1" applyBorder="1"/>
    <xf numFmtId="166" fontId="0" fillId="7" borderId="0" xfId="1" applyNumberFormat="1" applyFont="1" applyFill="1" applyBorder="1"/>
    <xf numFmtId="166" fontId="0" fillId="7" borderId="5" xfId="1" applyNumberFormat="1" applyFont="1" applyFill="1" applyBorder="1"/>
    <xf numFmtId="166" fontId="0" fillId="7" borderId="6" xfId="1" applyNumberFormat="1" applyFont="1" applyFill="1" applyBorder="1"/>
    <xf numFmtId="166" fontId="0" fillId="7" borderId="7" xfId="1" applyNumberFormat="1" applyFont="1" applyFill="1" applyBorder="1"/>
    <xf numFmtId="166" fontId="0" fillId="7" borderId="8" xfId="1" applyNumberFormat="1" applyFont="1" applyFill="1" applyBorder="1"/>
    <xf numFmtId="166" fontId="0" fillId="4" borderId="0" xfId="1" applyNumberFormat="1" applyFont="1" applyFill="1"/>
    <xf numFmtId="9" fontId="0" fillId="0" borderId="0" xfId="2" applyFont="1"/>
    <xf numFmtId="166" fontId="3" fillId="4" borderId="0" xfId="1" applyNumberFormat="1" applyFont="1" applyFill="1"/>
    <xf numFmtId="166" fontId="3" fillId="8" borderId="0" xfId="1" applyNumberFormat="1" applyFont="1" applyFill="1"/>
    <xf numFmtId="0" fontId="3" fillId="8" borderId="0" xfId="1" applyNumberFormat="1" applyFont="1" applyFill="1" applyAlignment="1">
      <alignment horizontal="center"/>
    </xf>
    <xf numFmtId="166" fontId="3" fillId="0" borderId="0" xfId="1" applyNumberFormat="1" applyFont="1" applyAlignment="1">
      <alignment horizontal="center"/>
    </xf>
    <xf numFmtId="166" fontId="0" fillId="0" borderId="1" xfId="1" applyNumberFormat="1" applyFont="1" applyBorder="1"/>
    <xf numFmtId="166" fontId="0" fillId="0" borderId="2" xfId="1" applyNumberFormat="1" applyFont="1" applyBorder="1" applyAlignment="1">
      <alignment horizontal="center"/>
    </xf>
    <xf numFmtId="166" fontId="2" fillId="10" borderId="0" xfId="1" applyNumberFormat="1" applyFont="1" applyFill="1"/>
    <xf numFmtId="166" fontId="2" fillId="11" borderId="0" xfId="1" applyNumberFormat="1" applyFont="1" applyFill="1"/>
    <xf numFmtId="166" fontId="4" fillId="11" borderId="0" xfId="1" applyNumberFormat="1" applyFont="1" applyFill="1"/>
    <xf numFmtId="166" fontId="0" fillId="0" borderId="10" xfId="1" applyNumberFormat="1" applyFont="1" applyBorder="1"/>
    <xf numFmtId="166" fontId="0" fillId="0" borderId="11" xfId="1" applyNumberFormat="1" applyFont="1" applyBorder="1"/>
    <xf numFmtId="166" fontId="3" fillId="0" borderId="11" xfId="1" applyNumberFormat="1" applyFont="1" applyBorder="1" applyAlignment="1">
      <alignment horizontal="center"/>
    </xf>
    <xf numFmtId="166" fontId="3" fillId="0" borderId="11" xfId="1" applyNumberFormat="1" applyFont="1" applyBorder="1"/>
    <xf numFmtId="9" fontId="3" fillId="0" borderId="11" xfId="2" applyFont="1" applyBorder="1"/>
    <xf numFmtId="166" fontId="0" fillId="0" borderId="12" xfId="1" applyNumberFormat="1" applyFont="1" applyBorder="1"/>
    <xf numFmtId="166" fontId="3" fillId="0" borderId="13" xfId="1" applyNumberFormat="1" applyFont="1" applyBorder="1"/>
    <xf numFmtId="166" fontId="3" fillId="0" borderId="0" xfId="1" applyNumberFormat="1" applyFont="1" applyBorder="1"/>
    <xf numFmtId="166" fontId="0" fillId="9" borderId="0" xfId="1" applyNumberFormat="1" applyFont="1" applyFill="1" applyBorder="1"/>
    <xf numFmtId="166" fontId="0" fillId="0" borderId="14" xfId="1" applyNumberFormat="1" applyFont="1" applyBorder="1" applyAlignment="1">
      <alignment horizontal="center"/>
    </xf>
    <xf numFmtId="166" fontId="0" fillId="0" borderId="13" xfId="1" applyNumberFormat="1" applyFont="1" applyBorder="1"/>
    <xf numFmtId="166" fontId="0" fillId="0" borderId="15" xfId="1" applyNumberFormat="1" applyFont="1" applyBorder="1"/>
    <xf numFmtId="166" fontId="2" fillId="10" borderId="15" xfId="1" applyNumberFormat="1" applyFont="1" applyFill="1" applyBorder="1"/>
    <xf numFmtId="166" fontId="3" fillId="0" borderId="16" xfId="1" applyNumberFormat="1" applyFont="1" applyBorder="1"/>
    <xf numFmtId="166" fontId="3" fillId="0" borderId="17" xfId="1" applyNumberFormat="1" applyFont="1" applyBorder="1"/>
    <xf numFmtId="166" fontId="0" fillId="9" borderId="17" xfId="1" applyNumberFormat="1" applyFont="1" applyFill="1" applyBorder="1"/>
    <xf numFmtId="166" fontId="0" fillId="0" borderId="17" xfId="1" applyNumberFormat="1" applyFont="1" applyBorder="1"/>
    <xf numFmtId="166" fontId="0" fillId="0" borderId="18" xfId="1" applyNumberFormat="1" applyFont="1" applyBorder="1"/>
    <xf numFmtId="166" fontId="0" fillId="0" borderId="19" xfId="1" applyNumberFormat="1" applyFont="1" applyBorder="1"/>
    <xf numFmtId="166" fontId="3" fillId="9" borderId="0" xfId="1" applyNumberFormat="1" applyFont="1" applyFill="1" applyBorder="1"/>
    <xf numFmtId="166" fontId="3" fillId="9" borderId="17" xfId="1" applyNumberFormat="1" applyFont="1" applyFill="1" applyBorder="1"/>
    <xf numFmtId="166" fontId="3" fillId="12" borderId="0" xfId="1" applyNumberFormat="1" applyFont="1" applyFill="1"/>
    <xf numFmtId="166" fontId="7" fillId="12" borderId="15" xfId="1" applyNumberFormat="1" applyFont="1" applyFill="1" applyBorder="1"/>
    <xf numFmtId="166" fontId="7" fillId="12" borderId="0" xfId="1" applyNumberFormat="1" applyFont="1" applyFill="1"/>
    <xf numFmtId="166" fontId="7" fillId="12" borderId="9" xfId="1" applyNumberFormat="1" applyFont="1" applyFill="1" applyBorder="1"/>
    <xf numFmtId="166" fontId="7" fillId="13" borderId="15" xfId="1" applyNumberFormat="1" applyFont="1" applyFill="1" applyBorder="1"/>
    <xf numFmtId="166" fontId="3" fillId="13" borderId="0" xfId="1" applyNumberFormat="1" applyFont="1" applyFill="1"/>
    <xf numFmtId="166" fontId="7" fillId="13" borderId="9" xfId="1" applyNumberFormat="1" applyFont="1" applyFill="1" applyBorder="1"/>
    <xf numFmtId="166" fontId="7" fillId="14" borderId="15" xfId="1" applyNumberFormat="1" applyFont="1" applyFill="1" applyBorder="1"/>
    <xf numFmtId="166" fontId="3" fillId="14" borderId="0" xfId="1" applyNumberFormat="1" applyFont="1" applyFill="1"/>
    <xf numFmtId="166" fontId="7" fillId="14" borderId="9" xfId="1" applyNumberFormat="1" applyFont="1" applyFill="1" applyBorder="1"/>
    <xf numFmtId="166" fontId="7" fillId="14" borderId="0" xfId="1" applyNumberFormat="1" applyFont="1" applyFill="1" applyBorder="1"/>
    <xf numFmtId="166" fontId="4" fillId="5" borderId="0" xfId="1" applyNumberFormat="1" applyFont="1" applyFill="1" applyBorder="1"/>
    <xf numFmtId="166" fontId="2" fillId="5" borderId="0" xfId="1" applyNumberFormat="1" applyFont="1" applyFill="1" applyBorder="1"/>
    <xf numFmtId="166" fontId="2" fillId="5" borderId="9" xfId="1" applyNumberFormat="1" applyFont="1" applyFill="1" applyBorder="1"/>
    <xf numFmtId="166" fontId="8" fillId="0" borderId="0" xfId="1" applyNumberFormat="1" applyFont="1"/>
    <xf numFmtId="166" fontId="0" fillId="15" borderId="20" xfId="1" applyNumberFormat="1" applyFont="1" applyFill="1" applyBorder="1"/>
    <xf numFmtId="166" fontId="0" fillId="15" borderId="21" xfId="1" applyNumberFormat="1" applyFont="1" applyFill="1" applyBorder="1"/>
    <xf numFmtId="166" fontId="0" fillId="15" borderId="22" xfId="1" applyNumberFormat="1" applyFont="1" applyFill="1" applyBorder="1"/>
    <xf numFmtId="166" fontId="0" fillId="15" borderId="0" xfId="1" applyNumberFormat="1" applyFont="1" applyFill="1" applyBorder="1"/>
    <xf numFmtId="166" fontId="3" fillId="15" borderId="4" xfId="1" applyNumberFormat="1" applyFont="1" applyFill="1" applyBorder="1"/>
    <xf numFmtId="166" fontId="3" fillId="15" borderId="0" xfId="1" applyNumberFormat="1" applyFont="1" applyFill="1" applyBorder="1"/>
    <xf numFmtId="166" fontId="0" fillId="15" borderId="10" xfId="1" applyNumberFormat="1" applyFont="1" applyFill="1" applyBorder="1"/>
    <xf numFmtId="166" fontId="0" fillId="15" borderId="11" xfId="1" applyNumberFormat="1" applyFont="1" applyFill="1" applyBorder="1"/>
    <xf numFmtId="166" fontId="0" fillId="15" borderId="12" xfId="1" applyNumberFormat="1" applyFont="1" applyFill="1" applyBorder="1"/>
    <xf numFmtId="166" fontId="0" fillId="15" borderId="13" xfId="1" applyNumberFormat="1" applyFont="1" applyFill="1" applyBorder="1"/>
    <xf numFmtId="166" fontId="0" fillId="15" borderId="15" xfId="1" applyNumberFormat="1" applyFont="1" applyFill="1" applyBorder="1"/>
    <xf numFmtId="0" fontId="3" fillId="8" borderId="23" xfId="1" applyNumberFormat="1" applyFont="1" applyFill="1" applyBorder="1" applyAlignment="1">
      <alignment horizontal="center"/>
    </xf>
    <xf numFmtId="166" fontId="0" fillId="0" borderId="24" xfId="1" applyNumberFormat="1" applyFont="1" applyBorder="1"/>
    <xf numFmtId="166" fontId="0" fillId="4" borderId="24" xfId="1" applyNumberFormat="1" applyFont="1" applyFill="1" applyBorder="1"/>
    <xf numFmtId="166" fontId="3" fillId="4" borderId="24" xfId="1" applyNumberFormat="1" applyFont="1" applyFill="1" applyBorder="1"/>
    <xf numFmtId="166" fontId="3" fillId="4" borderId="25" xfId="1" applyNumberFormat="1" applyFont="1" applyFill="1" applyBorder="1"/>
    <xf numFmtId="166" fontId="3" fillId="15" borderId="20" xfId="1" applyNumberFormat="1" applyFont="1" applyFill="1" applyBorder="1"/>
    <xf numFmtId="166" fontId="3" fillId="15" borderId="21" xfId="1" applyNumberFormat="1" applyFont="1" applyFill="1" applyBorder="1"/>
    <xf numFmtId="166" fontId="9" fillId="0" borderId="0" xfId="1" applyNumberFormat="1" applyFont="1"/>
    <xf numFmtId="166" fontId="9" fillId="0" borderId="9" xfId="1" applyNumberFormat="1" applyFont="1" applyBorder="1"/>
    <xf numFmtId="166" fontId="9" fillId="15" borderId="9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8996-1B76-4E5C-8B07-0542FB89EECA}">
  <dimension ref="A1:I21"/>
  <sheetViews>
    <sheetView topLeftCell="E1" zoomScale="145" zoomScaleNormal="145" workbookViewId="0">
      <selection activeCell="I1" sqref="I1"/>
    </sheetView>
  </sheetViews>
  <sheetFormatPr baseColWidth="10" defaultRowHeight="15" x14ac:dyDescent="0.25"/>
  <cols>
    <col min="1" max="1" width="13.5703125" customWidth="1"/>
    <col min="5" max="5" width="3" bestFit="1" customWidth="1"/>
    <col min="6" max="6" width="7.85546875" bestFit="1" customWidth="1"/>
    <col min="7" max="7" width="9.28515625" bestFit="1" customWidth="1"/>
    <col min="8" max="8" width="9.85546875" bestFit="1" customWidth="1"/>
    <col min="9" max="9" width="7.42578125" bestFit="1" customWidth="1"/>
  </cols>
  <sheetData>
    <row r="1" spans="1:9" x14ac:dyDescent="0.25">
      <c r="A1" s="1"/>
      <c r="B1" s="9" t="s">
        <v>0</v>
      </c>
      <c r="C1" s="2" t="s">
        <v>0</v>
      </c>
      <c r="F1" s="6">
        <v>0.05</v>
      </c>
      <c r="G1" s="11" t="s">
        <v>7</v>
      </c>
      <c r="H1" s="11" t="s">
        <v>8</v>
      </c>
      <c r="I1" s="8">
        <f>IRR(I2:I12)</f>
        <v>6.2946272862501429E-2</v>
      </c>
    </row>
    <row r="2" spans="1:9" x14ac:dyDescent="0.25">
      <c r="A2" s="1"/>
      <c r="B2" s="9" t="s">
        <v>1</v>
      </c>
      <c r="C2" s="2" t="s">
        <v>2</v>
      </c>
      <c r="E2" s="13">
        <v>0</v>
      </c>
      <c r="F2" s="14">
        <v>100000</v>
      </c>
      <c r="G2" s="12">
        <v>-5000</v>
      </c>
      <c r="H2" s="12">
        <v>-1000</v>
      </c>
      <c r="I2" s="7">
        <f>SUM(F2:H2)</f>
        <v>94000</v>
      </c>
    </row>
    <row r="3" spans="1:9" x14ac:dyDescent="0.25">
      <c r="A3" s="1"/>
      <c r="B3" s="9" t="s">
        <v>3</v>
      </c>
      <c r="C3" s="2" t="s">
        <v>3</v>
      </c>
      <c r="E3">
        <f>+E2+1</f>
        <v>1</v>
      </c>
      <c r="F3" s="7">
        <f>PMT(F1,E12,F2,0,0)</f>
        <v>-12950.457496545667</v>
      </c>
      <c r="I3" s="7">
        <f>SUM(F3:H3)</f>
        <v>-12950.457496545667</v>
      </c>
    </row>
    <row r="4" spans="1:9" x14ac:dyDescent="0.25">
      <c r="A4" s="3"/>
      <c r="B4" s="4">
        <v>0.12</v>
      </c>
      <c r="C4" s="4">
        <v>0.12</v>
      </c>
      <c r="E4">
        <f>+E3+1</f>
        <v>2</v>
      </c>
      <c r="F4" s="7">
        <f>+F3</f>
        <v>-12950.457496545667</v>
      </c>
      <c r="I4" s="7">
        <f>SUM(F4:H4)</f>
        <v>-12950.457496545667</v>
      </c>
    </row>
    <row r="5" spans="1:9" x14ac:dyDescent="0.25">
      <c r="A5" s="5" t="s">
        <v>4</v>
      </c>
      <c r="B5" s="10">
        <f>+B4/12</f>
        <v>0.01</v>
      </c>
      <c r="C5" s="6">
        <f>(1+C4)^(1/12)-1</f>
        <v>9.4887929345830457E-3</v>
      </c>
      <c r="E5">
        <f>+E4+1</f>
        <v>3</v>
      </c>
      <c r="F5" s="7">
        <f t="shared" ref="F5:F12" si="0">+F4</f>
        <v>-12950.457496545667</v>
      </c>
      <c r="I5" s="7">
        <f>SUM(F5:H5)</f>
        <v>-12950.457496545667</v>
      </c>
    </row>
    <row r="6" spans="1:9" x14ac:dyDescent="0.25">
      <c r="A6" s="5" t="s">
        <v>5</v>
      </c>
      <c r="B6" s="10">
        <f>+B4/6</f>
        <v>0.02</v>
      </c>
      <c r="C6" s="6">
        <f>(1+C4)^(1/6)-1</f>
        <v>1.9067623060521344E-2</v>
      </c>
      <c r="E6">
        <f>+E5+1</f>
        <v>4</v>
      </c>
      <c r="F6" s="7">
        <f t="shared" si="0"/>
        <v>-12950.457496545667</v>
      </c>
      <c r="I6" s="7">
        <f>SUM(F6:H6)</f>
        <v>-12950.457496545667</v>
      </c>
    </row>
    <row r="7" spans="1:9" x14ac:dyDescent="0.25">
      <c r="A7" s="5" t="s">
        <v>6</v>
      </c>
      <c r="B7" s="10">
        <f>+B4/4</f>
        <v>0.03</v>
      </c>
      <c r="C7" s="6">
        <f>(1+C4)^(1/4)-1</f>
        <v>2.8737344722080227E-2</v>
      </c>
      <c r="E7">
        <f>+E6+1</f>
        <v>5</v>
      </c>
      <c r="F7" s="7">
        <f t="shared" si="0"/>
        <v>-12950.457496545667</v>
      </c>
      <c r="I7" s="7">
        <f>SUM(F7:H7)</f>
        <v>-12950.457496545667</v>
      </c>
    </row>
    <row r="8" spans="1:9" x14ac:dyDescent="0.25">
      <c r="E8">
        <f>+E7+1</f>
        <v>6</v>
      </c>
      <c r="F8" s="7">
        <f t="shared" si="0"/>
        <v>-12950.457496545667</v>
      </c>
      <c r="I8" s="7">
        <f>SUM(F8:H8)</f>
        <v>-12950.457496545667</v>
      </c>
    </row>
    <row r="9" spans="1:9" x14ac:dyDescent="0.25">
      <c r="E9">
        <f>+E8+1</f>
        <v>7</v>
      </c>
      <c r="F9" s="7">
        <f t="shared" si="0"/>
        <v>-12950.457496545667</v>
      </c>
      <c r="I9" s="7">
        <f>SUM(F9:H9)</f>
        <v>-12950.457496545667</v>
      </c>
    </row>
    <row r="10" spans="1:9" x14ac:dyDescent="0.25">
      <c r="E10">
        <f>+E9+1</f>
        <v>8</v>
      </c>
      <c r="F10" s="7">
        <f t="shared" si="0"/>
        <v>-12950.457496545667</v>
      </c>
      <c r="I10" s="7">
        <f>SUM(F10:H10)</f>
        <v>-12950.457496545667</v>
      </c>
    </row>
    <row r="11" spans="1:9" x14ac:dyDescent="0.25">
      <c r="E11">
        <f>+E10+1</f>
        <v>9</v>
      </c>
      <c r="F11" s="7">
        <f t="shared" si="0"/>
        <v>-12950.457496545667</v>
      </c>
      <c r="I11" s="7">
        <f>SUM(F11:H11)</f>
        <v>-12950.457496545667</v>
      </c>
    </row>
    <row r="12" spans="1:9" x14ac:dyDescent="0.25">
      <c r="E12">
        <f>+E11+1</f>
        <v>10</v>
      </c>
      <c r="F12" s="7">
        <f t="shared" si="0"/>
        <v>-12950.457496545667</v>
      </c>
      <c r="I12" s="7">
        <f>SUM(F12:H12)</f>
        <v>-12950.457496545667</v>
      </c>
    </row>
    <row r="21" spans="2:2" x14ac:dyDescent="0.25">
      <c r="B2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92B7-A264-40B6-B561-A393CFDA49BC}">
  <dimension ref="A1:R52"/>
  <sheetViews>
    <sheetView tabSelected="1" topLeftCell="N1" zoomScale="130" zoomScaleNormal="130" workbookViewId="0">
      <selection activeCell="R8" sqref="R8"/>
    </sheetView>
  </sheetViews>
  <sheetFormatPr baseColWidth="10" defaultRowHeight="15" x14ac:dyDescent="0.25"/>
  <cols>
    <col min="1" max="2" width="11.42578125" style="15"/>
    <col min="3" max="3" width="5.85546875" style="15" customWidth="1"/>
    <col min="4" max="4" width="14.140625" style="15" customWidth="1"/>
    <col min="5" max="15" width="11.42578125" style="15"/>
    <col min="16" max="16" width="13.85546875" style="15" bestFit="1" customWidth="1"/>
    <col min="17" max="16384" width="11.42578125" style="15"/>
  </cols>
  <sheetData>
    <row r="1" spans="1:18" s="18" customFormat="1" ht="15.75" x14ac:dyDescent="0.25">
      <c r="A1" s="18" t="s">
        <v>9</v>
      </c>
    </row>
    <row r="2" spans="1:18" ht="15.75" thickBot="1" x14ac:dyDescent="0.3">
      <c r="A2" s="19" t="s">
        <v>10</v>
      </c>
      <c r="B2" s="20"/>
      <c r="C2" s="21"/>
      <c r="D2" s="16" t="s">
        <v>19</v>
      </c>
      <c r="G2" s="41">
        <v>0.3</v>
      </c>
    </row>
    <row r="3" spans="1:18" x14ac:dyDescent="0.25">
      <c r="A3" s="22" t="s">
        <v>11</v>
      </c>
      <c r="B3" s="23">
        <v>1200000</v>
      </c>
      <c r="C3" s="24"/>
      <c r="D3" s="43"/>
      <c r="E3" s="44">
        <v>1</v>
      </c>
      <c r="F3" s="44">
        <f>+E3+1</f>
        <v>2</v>
      </c>
      <c r="G3" s="44">
        <f t="shared" ref="G3:N3" si="0">+F3+1</f>
        <v>3</v>
      </c>
      <c r="H3" s="44">
        <f t="shared" si="0"/>
        <v>4</v>
      </c>
      <c r="I3" s="44">
        <f t="shared" si="0"/>
        <v>5</v>
      </c>
      <c r="J3" s="44">
        <f t="shared" si="0"/>
        <v>6</v>
      </c>
      <c r="K3" s="44">
        <f t="shared" si="0"/>
        <v>7</v>
      </c>
      <c r="L3" s="44">
        <f t="shared" si="0"/>
        <v>8</v>
      </c>
      <c r="M3" s="98">
        <f t="shared" si="0"/>
        <v>9</v>
      </c>
      <c r="N3" s="44">
        <f t="shared" si="0"/>
        <v>10</v>
      </c>
      <c r="Q3" s="45" t="s">
        <v>48</v>
      </c>
      <c r="R3" s="45" t="s">
        <v>18</v>
      </c>
    </row>
    <row r="4" spans="1:18" x14ac:dyDescent="0.25">
      <c r="A4" s="22" t="s">
        <v>12</v>
      </c>
      <c r="B4" s="23"/>
      <c r="C4" s="24"/>
      <c r="D4" s="15" t="s">
        <v>25</v>
      </c>
      <c r="E4" s="15">
        <f>$B$3-$B$8*E3</f>
        <v>1080000</v>
      </c>
      <c r="F4" s="15">
        <f>$B$3-$B$8*F3</f>
        <v>960000</v>
      </c>
      <c r="G4" s="15">
        <f>$B$3-$B$8*G3</f>
        <v>840000</v>
      </c>
      <c r="H4" s="15">
        <f t="shared" ref="H4:N4" si="1">$B$3-$B$8*H3</f>
        <v>720000</v>
      </c>
      <c r="I4" s="15">
        <f t="shared" si="1"/>
        <v>600000</v>
      </c>
      <c r="J4" s="15">
        <f t="shared" si="1"/>
        <v>480000</v>
      </c>
      <c r="K4" s="15">
        <f t="shared" si="1"/>
        <v>360000</v>
      </c>
      <c r="L4" s="15">
        <f t="shared" si="1"/>
        <v>240000</v>
      </c>
      <c r="M4" s="99">
        <f t="shared" si="1"/>
        <v>120000</v>
      </c>
      <c r="N4" s="15">
        <f t="shared" si="1"/>
        <v>0</v>
      </c>
      <c r="P4" s="15" t="s">
        <v>49</v>
      </c>
      <c r="Q4" s="15">
        <v>500000</v>
      </c>
      <c r="R4" s="15">
        <v>500000</v>
      </c>
    </row>
    <row r="5" spans="1:18" x14ac:dyDescent="0.25">
      <c r="A5" s="22" t="s">
        <v>13</v>
      </c>
      <c r="B5" s="23">
        <v>4</v>
      </c>
      <c r="C5" s="24" t="s">
        <v>14</v>
      </c>
      <c r="D5" s="15" t="s">
        <v>26</v>
      </c>
      <c r="E5" s="15">
        <f>$B$3-$B$9*E3</f>
        <v>900000</v>
      </c>
      <c r="F5" s="15">
        <f>$B$3-$B$9*F3</f>
        <v>600000</v>
      </c>
      <c r="G5" s="15">
        <f>$B$3-$B$9*G3</f>
        <v>300000</v>
      </c>
      <c r="H5" s="15">
        <f>$B$3-$B$9*H3</f>
        <v>0</v>
      </c>
      <c r="I5" s="15">
        <v>0</v>
      </c>
      <c r="J5" s="15">
        <v>0</v>
      </c>
      <c r="K5" s="15">
        <v>0</v>
      </c>
      <c r="L5" s="15">
        <v>0</v>
      </c>
      <c r="M5" s="99">
        <v>0</v>
      </c>
      <c r="N5" s="15">
        <v>0</v>
      </c>
      <c r="P5" s="15" t="s">
        <v>50</v>
      </c>
      <c r="Q5" s="15">
        <f>-M4</f>
        <v>-120000</v>
      </c>
      <c r="R5" s="15">
        <f>-M5</f>
        <v>0</v>
      </c>
    </row>
    <row r="6" spans="1:18" x14ac:dyDescent="0.25">
      <c r="A6" s="25" t="s">
        <v>15</v>
      </c>
      <c r="B6" s="26">
        <v>10</v>
      </c>
      <c r="C6" s="27"/>
      <c r="D6" s="40" t="s">
        <v>27</v>
      </c>
      <c r="E6" s="40">
        <f>+E4-E5</f>
        <v>180000</v>
      </c>
      <c r="F6" s="40">
        <f t="shared" ref="F6:N6" si="2">+F4-F5</f>
        <v>360000</v>
      </c>
      <c r="G6" s="40">
        <f t="shared" si="2"/>
        <v>540000</v>
      </c>
      <c r="H6" s="40">
        <f t="shared" si="2"/>
        <v>720000</v>
      </c>
      <c r="I6" s="40">
        <f t="shared" si="2"/>
        <v>600000</v>
      </c>
      <c r="J6" s="40">
        <f t="shared" si="2"/>
        <v>480000</v>
      </c>
      <c r="K6" s="40">
        <f t="shared" si="2"/>
        <v>360000</v>
      </c>
      <c r="L6" s="40">
        <f t="shared" si="2"/>
        <v>240000</v>
      </c>
      <c r="M6" s="100">
        <f t="shared" si="2"/>
        <v>120000</v>
      </c>
      <c r="N6" s="40">
        <f t="shared" si="2"/>
        <v>0</v>
      </c>
      <c r="P6" s="15" t="s">
        <v>51</v>
      </c>
      <c r="Q6" s="15">
        <f>+Q4+Q5</f>
        <v>380000</v>
      </c>
      <c r="R6" s="15">
        <f>+R4+R5</f>
        <v>500000</v>
      </c>
    </row>
    <row r="7" spans="1:18" ht="15.75" thickBot="1" x14ac:dyDescent="0.3">
      <c r="A7" s="31" t="s">
        <v>16</v>
      </c>
      <c r="B7" s="32"/>
      <c r="C7" s="33"/>
      <c r="D7" s="42" t="s">
        <v>28</v>
      </c>
      <c r="E7" s="48">
        <f>+E6*$G$2</f>
        <v>54000</v>
      </c>
      <c r="F7" s="72">
        <f t="shared" ref="F7:N7" si="3">+F6*$G$2</f>
        <v>108000</v>
      </c>
      <c r="G7" s="77">
        <f t="shared" si="3"/>
        <v>162000</v>
      </c>
      <c r="H7" s="80">
        <f t="shared" si="3"/>
        <v>216000</v>
      </c>
      <c r="I7" s="17">
        <f t="shared" si="3"/>
        <v>180000</v>
      </c>
      <c r="J7" s="42">
        <f t="shared" si="3"/>
        <v>144000</v>
      </c>
      <c r="K7" s="42">
        <f t="shared" si="3"/>
        <v>108000</v>
      </c>
      <c r="L7" s="42">
        <f t="shared" si="3"/>
        <v>72000</v>
      </c>
      <c r="M7" s="101">
        <f t="shared" si="3"/>
        <v>36000</v>
      </c>
      <c r="N7" s="42">
        <f t="shared" si="3"/>
        <v>0</v>
      </c>
      <c r="P7" s="16" t="s">
        <v>52</v>
      </c>
      <c r="Q7" s="16">
        <f>+Q6*30%</f>
        <v>114000</v>
      </c>
      <c r="R7" s="105">
        <f>+R6*30%</f>
        <v>150000</v>
      </c>
    </row>
    <row r="8" spans="1:18" ht="15.75" thickBot="1" x14ac:dyDescent="0.3">
      <c r="A8" s="34" t="s">
        <v>17</v>
      </c>
      <c r="B8" s="35">
        <f>+B3/B6</f>
        <v>120000</v>
      </c>
      <c r="C8" s="36"/>
      <c r="D8" s="42" t="s">
        <v>30</v>
      </c>
      <c r="E8" s="42">
        <f>+E7</f>
        <v>54000</v>
      </c>
      <c r="F8" s="74">
        <f>+F7-E7</f>
        <v>54000</v>
      </c>
      <c r="G8" s="77">
        <f t="shared" ref="G8:N8" si="4">+G7-F7</f>
        <v>54000</v>
      </c>
      <c r="H8" s="82">
        <f t="shared" si="4"/>
        <v>54000</v>
      </c>
      <c r="I8" s="84">
        <f t="shared" si="4"/>
        <v>-36000</v>
      </c>
      <c r="J8" s="42">
        <f t="shared" si="4"/>
        <v>-36000</v>
      </c>
      <c r="K8" s="42">
        <f t="shared" si="4"/>
        <v>-36000</v>
      </c>
      <c r="L8" s="42">
        <f t="shared" si="4"/>
        <v>-36000</v>
      </c>
      <c r="M8" s="102">
        <f t="shared" si="4"/>
        <v>-36000</v>
      </c>
      <c r="N8" s="42">
        <f t="shared" si="4"/>
        <v>-36000</v>
      </c>
      <c r="R8" s="106">
        <f>+R7-Q7</f>
        <v>36000</v>
      </c>
    </row>
    <row r="9" spans="1:18" ht="15.75" thickBot="1" x14ac:dyDescent="0.3">
      <c r="A9" s="37" t="s">
        <v>18</v>
      </c>
      <c r="B9" s="38">
        <f>+B3/B5</f>
        <v>300000</v>
      </c>
      <c r="C9" s="39"/>
      <c r="D9" s="49" t="s">
        <v>29</v>
      </c>
      <c r="E9" s="50"/>
      <c r="F9" s="50"/>
    </row>
    <row r="10" spans="1:18" ht="15.75" thickBot="1" x14ac:dyDescent="0.3">
      <c r="K10" s="103" t="s">
        <v>47</v>
      </c>
      <c r="L10" s="104"/>
      <c r="M10" s="107">
        <f>+M7</f>
        <v>36000</v>
      </c>
    </row>
    <row r="11" spans="1:18" ht="15.75" thickBot="1" x14ac:dyDescent="0.3"/>
    <row r="12" spans="1:18" x14ac:dyDescent="0.25">
      <c r="C12" s="51"/>
      <c r="D12" s="52"/>
      <c r="E12" s="53" t="s">
        <v>20</v>
      </c>
      <c r="F12" s="54" t="s">
        <v>35</v>
      </c>
      <c r="G12" s="55">
        <v>0.3</v>
      </c>
      <c r="H12" s="52"/>
      <c r="I12" s="52"/>
      <c r="J12" s="52"/>
      <c r="K12" s="52"/>
      <c r="L12" s="56"/>
    </row>
    <row r="13" spans="1:18" x14ac:dyDescent="0.25">
      <c r="C13" s="57" t="s">
        <v>31</v>
      </c>
      <c r="D13" s="58"/>
      <c r="E13" s="58">
        <v>666666</v>
      </c>
      <c r="F13" s="59" t="s">
        <v>37</v>
      </c>
      <c r="G13" s="59">
        <f>-E13*G12</f>
        <v>-199999.8</v>
      </c>
      <c r="H13" s="30"/>
      <c r="I13" s="46"/>
      <c r="J13" s="28"/>
      <c r="K13" s="47" t="s">
        <v>39</v>
      </c>
      <c r="L13" s="60" t="s">
        <v>40</v>
      </c>
    </row>
    <row r="14" spans="1:18" x14ac:dyDescent="0.25">
      <c r="C14" s="61" t="s">
        <v>32</v>
      </c>
      <c r="D14" s="30"/>
      <c r="E14" s="30">
        <f>+B8</f>
        <v>120000</v>
      </c>
      <c r="F14" s="30"/>
      <c r="G14" s="30"/>
      <c r="H14" s="30"/>
      <c r="I14" s="91" t="s">
        <v>38</v>
      </c>
      <c r="J14" s="92"/>
      <c r="K14" s="92">
        <f>+-G13</f>
        <v>199999.8</v>
      </c>
      <c r="L14" s="62"/>
    </row>
    <row r="15" spans="1:18" x14ac:dyDescent="0.25">
      <c r="C15" s="61" t="s">
        <v>33</v>
      </c>
      <c r="D15" s="30"/>
      <c r="E15" s="30">
        <f>-B9</f>
        <v>-300000</v>
      </c>
      <c r="F15" s="30"/>
      <c r="G15" s="30"/>
      <c r="H15" s="30"/>
      <c r="I15" s="29" t="s">
        <v>28</v>
      </c>
      <c r="J15" s="30"/>
      <c r="K15" s="30"/>
      <c r="L15" s="63">
        <f>+K14-L16</f>
        <v>54000</v>
      </c>
    </row>
    <row r="16" spans="1:18" ht="15.75" thickBot="1" x14ac:dyDescent="0.3">
      <c r="C16" s="64" t="s">
        <v>34</v>
      </c>
      <c r="D16" s="65"/>
      <c r="E16" s="65">
        <f>SUM(E13:E15)</f>
        <v>486666</v>
      </c>
      <c r="F16" s="66" t="s">
        <v>36</v>
      </c>
      <c r="G16" s="66">
        <f>-E16*G12</f>
        <v>-145999.79999999999</v>
      </c>
      <c r="H16" s="67"/>
      <c r="I16" s="68" t="s">
        <v>41</v>
      </c>
      <c r="J16" s="67"/>
      <c r="K16" s="67"/>
      <c r="L16" s="69">
        <f>-G16</f>
        <v>145999.79999999999</v>
      </c>
    </row>
    <row r="17" spans="3:13" ht="15.75" thickBot="1" x14ac:dyDescent="0.3"/>
    <row r="18" spans="3:13" x14ac:dyDescent="0.25">
      <c r="I18" s="93" t="s">
        <v>46</v>
      </c>
      <c r="J18" s="94"/>
      <c r="K18" s="94">
        <f>-G16</f>
        <v>145999.79999999999</v>
      </c>
      <c r="L18" s="95"/>
    </row>
    <row r="19" spans="3:13" x14ac:dyDescent="0.25">
      <c r="I19" s="96" t="s">
        <v>43</v>
      </c>
      <c r="J19" s="90"/>
      <c r="K19" s="90"/>
      <c r="L19" s="97">
        <f>+K18</f>
        <v>145999.79999999999</v>
      </c>
    </row>
    <row r="20" spans="3:13" x14ac:dyDescent="0.25">
      <c r="I20" s="61"/>
      <c r="J20" s="30"/>
      <c r="K20" s="30"/>
      <c r="L20" s="62"/>
    </row>
    <row r="21" spans="3:13" x14ac:dyDescent="0.25">
      <c r="I21" s="96" t="s">
        <v>44</v>
      </c>
      <c r="J21" s="90"/>
      <c r="K21" s="90">
        <f>+L15</f>
        <v>54000</v>
      </c>
      <c r="L21" s="97"/>
    </row>
    <row r="22" spans="3:13" x14ac:dyDescent="0.25">
      <c r="I22" s="96" t="s">
        <v>28</v>
      </c>
      <c r="J22" s="90"/>
      <c r="K22" s="90"/>
      <c r="L22" s="97">
        <f>+K21</f>
        <v>54000</v>
      </c>
    </row>
    <row r="23" spans="3:13" ht="15.75" thickBot="1" x14ac:dyDescent="0.3">
      <c r="I23" s="61"/>
      <c r="J23" s="30"/>
      <c r="K23" s="30"/>
      <c r="L23" s="62"/>
    </row>
    <row r="24" spans="3:13" ht="15.75" thickBot="1" x14ac:dyDescent="0.3">
      <c r="I24" s="87" t="s">
        <v>45</v>
      </c>
      <c r="J24" s="88"/>
      <c r="K24" s="89">
        <f>-K18-K21</f>
        <v>-199999.8</v>
      </c>
      <c r="L24" s="69"/>
    </row>
    <row r="27" spans="3:13" ht="15.75" thickBot="1" x14ac:dyDescent="0.3"/>
    <row r="28" spans="3:13" x14ac:dyDescent="0.25">
      <c r="C28" s="51"/>
      <c r="D28" s="52"/>
      <c r="E28" s="53" t="s">
        <v>21</v>
      </c>
      <c r="F28" s="54" t="s">
        <v>35</v>
      </c>
      <c r="G28" s="55">
        <v>0.3</v>
      </c>
      <c r="H28" s="52"/>
      <c r="I28" s="52"/>
      <c r="J28" s="52"/>
      <c r="K28" s="52"/>
      <c r="L28" s="56"/>
    </row>
    <row r="29" spans="3:13" x14ac:dyDescent="0.25">
      <c r="C29" s="57" t="s">
        <v>31</v>
      </c>
      <c r="D29" s="58"/>
      <c r="E29" s="58">
        <v>777777</v>
      </c>
      <c r="F29" s="70" t="s">
        <v>37</v>
      </c>
      <c r="G29" s="70">
        <f>-E29*G28</f>
        <v>-233333.1</v>
      </c>
      <c r="H29" s="30"/>
      <c r="I29" s="46"/>
      <c r="J29" s="28"/>
      <c r="K29" s="47" t="s">
        <v>39</v>
      </c>
      <c r="L29" s="60" t="s">
        <v>40</v>
      </c>
    </row>
    <row r="30" spans="3:13" ht="15.75" thickBot="1" x14ac:dyDescent="0.3">
      <c r="C30" s="61" t="s">
        <v>32</v>
      </c>
      <c r="D30" s="30"/>
      <c r="E30" s="30">
        <f>+B8</f>
        <v>120000</v>
      </c>
      <c r="F30" s="30"/>
      <c r="G30" s="30"/>
      <c r="H30" s="30"/>
      <c r="I30" s="29" t="s">
        <v>38</v>
      </c>
      <c r="J30" s="30"/>
      <c r="K30" s="30">
        <f>+-G29</f>
        <v>233333.1</v>
      </c>
      <c r="L30" s="62"/>
    </row>
    <row r="31" spans="3:13" ht="15.75" thickBot="1" x14ac:dyDescent="0.3">
      <c r="C31" s="61" t="s">
        <v>33</v>
      </c>
      <c r="D31" s="30"/>
      <c r="E31" s="30">
        <f>-+B9</f>
        <v>-300000</v>
      </c>
      <c r="F31" s="30"/>
      <c r="G31" s="30"/>
      <c r="H31" s="30"/>
      <c r="I31" s="29" t="s">
        <v>28</v>
      </c>
      <c r="J31" s="30"/>
      <c r="K31" s="30"/>
      <c r="L31" s="73">
        <f>+K30-L32</f>
        <v>54000</v>
      </c>
      <c r="M31" s="75">
        <f>+L31+L15</f>
        <v>108000</v>
      </c>
    </row>
    <row r="32" spans="3:13" ht="15.75" thickBot="1" x14ac:dyDescent="0.3">
      <c r="C32" s="64" t="s">
        <v>34</v>
      </c>
      <c r="D32" s="65"/>
      <c r="E32" s="65">
        <f>SUM(E29:E31)</f>
        <v>597777</v>
      </c>
      <c r="F32" s="71" t="s">
        <v>36</v>
      </c>
      <c r="G32" s="71">
        <f>-E32*G28</f>
        <v>-179333.1</v>
      </c>
      <c r="H32" s="67"/>
      <c r="I32" s="68" t="s">
        <v>41</v>
      </c>
      <c r="J32" s="67"/>
      <c r="K32" s="67"/>
      <c r="L32" s="69">
        <f>-G32</f>
        <v>179333.1</v>
      </c>
    </row>
    <row r="33" spans="3:13" ht="15.75" thickBot="1" x14ac:dyDescent="0.3"/>
    <row r="34" spans="3:13" x14ac:dyDescent="0.25">
      <c r="C34" s="51"/>
      <c r="D34" s="52"/>
      <c r="E34" s="53" t="s">
        <v>22</v>
      </c>
      <c r="F34" s="54" t="s">
        <v>35</v>
      </c>
      <c r="G34" s="55">
        <v>0.3</v>
      </c>
      <c r="H34" s="52"/>
      <c r="I34" s="52"/>
      <c r="J34" s="52"/>
      <c r="K34" s="52"/>
      <c r="L34" s="56"/>
    </row>
    <row r="35" spans="3:13" x14ac:dyDescent="0.25">
      <c r="C35" s="57" t="s">
        <v>31</v>
      </c>
      <c r="D35" s="58"/>
      <c r="E35" s="58">
        <v>999999</v>
      </c>
      <c r="F35" s="70" t="s">
        <v>37</v>
      </c>
      <c r="G35" s="70">
        <f>-E35*G34</f>
        <v>-299999.7</v>
      </c>
      <c r="H35" s="30"/>
      <c r="I35" s="46"/>
      <c r="J35" s="28"/>
      <c r="K35" s="47" t="s">
        <v>39</v>
      </c>
      <c r="L35" s="60" t="s">
        <v>40</v>
      </c>
    </row>
    <row r="36" spans="3:13" ht="15.75" thickBot="1" x14ac:dyDescent="0.3">
      <c r="C36" s="61" t="s">
        <v>32</v>
      </c>
      <c r="D36" s="30"/>
      <c r="E36" s="30">
        <f>+B8</f>
        <v>120000</v>
      </c>
      <c r="F36" s="30"/>
      <c r="G36" s="30"/>
      <c r="H36" s="30"/>
      <c r="I36" s="29" t="s">
        <v>38</v>
      </c>
      <c r="J36" s="30"/>
      <c r="K36" s="30">
        <f>+-G35</f>
        <v>299999.7</v>
      </c>
      <c r="L36" s="62"/>
    </row>
    <row r="37" spans="3:13" ht="15.75" thickBot="1" x14ac:dyDescent="0.3">
      <c r="C37" s="61" t="s">
        <v>33</v>
      </c>
      <c r="D37" s="30"/>
      <c r="E37" s="30">
        <f>-B9</f>
        <v>-300000</v>
      </c>
      <c r="F37" s="30"/>
      <c r="G37" s="30"/>
      <c r="H37" s="30"/>
      <c r="I37" s="29" t="s">
        <v>28</v>
      </c>
      <c r="J37" s="30"/>
      <c r="K37" s="30"/>
      <c r="L37" s="76">
        <f>+K36-L38</f>
        <v>54000.000000000029</v>
      </c>
      <c r="M37" s="78">
        <f>+M31+L37</f>
        <v>162000.00000000003</v>
      </c>
    </row>
    <row r="38" spans="3:13" ht="15.75" thickBot="1" x14ac:dyDescent="0.3">
      <c r="C38" s="64" t="s">
        <v>34</v>
      </c>
      <c r="D38" s="65"/>
      <c r="E38" s="65">
        <f>SUM(E35:E37)</f>
        <v>819999</v>
      </c>
      <c r="F38" s="71" t="s">
        <v>36</v>
      </c>
      <c r="G38" s="71">
        <f>-E38*G34</f>
        <v>-245999.69999999998</v>
      </c>
      <c r="H38" s="67"/>
      <c r="I38" s="68" t="s">
        <v>41</v>
      </c>
      <c r="J38" s="67"/>
      <c r="K38" s="67"/>
      <c r="L38" s="69">
        <f>-G38</f>
        <v>245999.69999999998</v>
      </c>
    </row>
    <row r="39" spans="3:13" ht="15.75" thickBot="1" x14ac:dyDescent="0.3"/>
    <row r="40" spans="3:13" x14ac:dyDescent="0.25">
      <c r="C40" s="51"/>
      <c r="D40" s="52"/>
      <c r="E40" s="53" t="s">
        <v>23</v>
      </c>
      <c r="F40" s="54" t="s">
        <v>35</v>
      </c>
      <c r="G40" s="55">
        <v>0.3</v>
      </c>
      <c r="H40" s="52"/>
      <c r="I40" s="52"/>
      <c r="J40" s="52"/>
      <c r="K40" s="52"/>
      <c r="L40" s="56"/>
    </row>
    <row r="41" spans="3:13" x14ac:dyDescent="0.25">
      <c r="C41" s="57" t="s">
        <v>31</v>
      </c>
      <c r="D41" s="58"/>
      <c r="E41" s="58">
        <v>987654</v>
      </c>
      <c r="F41" s="70" t="s">
        <v>37</v>
      </c>
      <c r="G41" s="70">
        <f>-E41*G40</f>
        <v>-296296.2</v>
      </c>
      <c r="H41" s="30"/>
      <c r="I41" s="46"/>
      <c r="J41" s="28"/>
      <c r="K41" s="47" t="s">
        <v>39</v>
      </c>
      <c r="L41" s="60" t="s">
        <v>40</v>
      </c>
    </row>
    <row r="42" spans="3:13" ht="15.75" thickBot="1" x14ac:dyDescent="0.3">
      <c r="C42" s="61" t="s">
        <v>32</v>
      </c>
      <c r="D42" s="30"/>
      <c r="E42" s="30">
        <f>+B8</f>
        <v>120000</v>
      </c>
      <c r="F42" s="30"/>
      <c r="G42" s="30"/>
      <c r="H42" s="30"/>
      <c r="I42" s="29" t="s">
        <v>38</v>
      </c>
      <c r="J42" s="30"/>
      <c r="K42" s="30">
        <f>-G41</f>
        <v>296296.2</v>
      </c>
      <c r="L42" s="62"/>
    </row>
    <row r="43" spans="3:13" ht="15.75" thickBot="1" x14ac:dyDescent="0.3">
      <c r="C43" s="61" t="s">
        <v>33</v>
      </c>
      <c r="D43" s="30"/>
      <c r="E43" s="30">
        <f>-+B9</f>
        <v>-300000</v>
      </c>
      <c r="F43" s="30"/>
      <c r="G43" s="30"/>
      <c r="H43" s="30"/>
      <c r="I43" s="29" t="s">
        <v>28</v>
      </c>
      <c r="J43" s="30"/>
      <c r="K43" s="30"/>
      <c r="L43" s="79">
        <f>+K42-L44</f>
        <v>54000.000000000029</v>
      </c>
      <c r="M43" s="81">
        <f>+M37+L43</f>
        <v>216000.00000000006</v>
      </c>
    </row>
    <row r="44" spans="3:13" ht="15.75" thickBot="1" x14ac:dyDescent="0.3">
      <c r="C44" s="64" t="s">
        <v>34</v>
      </c>
      <c r="D44" s="65"/>
      <c r="E44" s="65">
        <f>SUM(E41:E43)</f>
        <v>807654</v>
      </c>
      <c r="F44" s="71" t="s">
        <v>36</v>
      </c>
      <c r="G44" s="71">
        <f>-E44*G40</f>
        <v>-242296.19999999998</v>
      </c>
      <c r="H44" s="67"/>
      <c r="I44" s="68" t="s">
        <v>41</v>
      </c>
      <c r="J44" s="67"/>
      <c r="K44" s="67"/>
      <c r="L44" s="69">
        <f>-G44</f>
        <v>242296.19999999998</v>
      </c>
    </row>
    <row r="45" spans="3:13" ht="15.75" thickBot="1" x14ac:dyDescent="0.3"/>
    <row r="46" spans="3:13" x14ac:dyDescent="0.25">
      <c r="C46" s="51"/>
      <c r="D46" s="52"/>
      <c r="E46" s="53" t="s">
        <v>24</v>
      </c>
      <c r="F46" s="54" t="s">
        <v>35</v>
      </c>
      <c r="G46" s="55">
        <v>0.3</v>
      </c>
      <c r="H46" s="52"/>
      <c r="I46" s="52"/>
      <c r="J46" s="52"/>
      <c r="K46" s="52"/>
      <c r="L46" s="56"/>
    </row>
    <row r="47" spans="3:13" x14ac:dyDescent="0.25">
      <c r="C47" s="57" t="s">
        <v>31</v>
      </c>
      <c r="D47" s="58"/>
      <c r="E47" s="58">
        <v>1555555</v>
      </c>
      <c r="F47" s="70" t="s">
        <v>37</v>
      </c>
      <c r="G47" s="70">
        <f>+E47*G46</f>
        <v>466666.5</v>
      </c>
      <c r="H47" s="30"/>
      <c r="I47" s="46"/>
      <c r="J47" s="28"/>
      <c r="K47" s="47" t="s">
        <v>39</v>
      </c>
      <c r="L47" s="60" t="s">
        <v>40</v>
      </c>
    </row>
    <row r="48" spans="3:13" ht="15.75" thickBot="1" x14ac:dyDescent="0.3">
      <c r="C48" s="61" t="s">
        <v>32</v>
      </c>
      <c r="D48" s="30"/>
      <c r="E48" s="30">
        <f>+B8</f>
        <v>120000</v>
      </c>
      <c r="F48" s="30"/>
      <c r="G48" s="30"/>
      <c r="H48" s="30"/>
      <c r="I48" s="29" t="s">
        <v>38</v>
      </c>
      <c r="J48" s="30"/>
      <c r="K48" s="30">
        <f>+G47</f>
        <v>466666.5</v>
      </c>
      <c r="L48" s="62"/>
    </row>
    <row r="49" spans="3:13" ht="15.75" thickBot="1" x14ac:dyDescent="0.3">
      <c r="C49" s="61" t="s">
        <v>33</v>
      </c>
      <c r="D49" s="30"/>
      <c r="E49" s="30">
        <f>-+B15</f>
        <v>0</v>
      </c>
      <c r="F49" s="30"/>
      <c r="G49" s="30"/>
      <c r="H49" s="30"/>
      <c r="I49" s="29" t="s">
        <v>28</v>
      </c>
      <c r="J49" s="30"/>
      <c r="K49" s="83">
        <f>+L50-K48</f>
        <v>36000</v>
      </c>
      <c r="L49" s="62"/>
      <c r="M49" s="85">
        <f>+M43-K49</f>
        <v>180000.00000000006</v>
      </c>
    </row>
    <row r="50" spans="3:13" ht="15.75" thickBot="1" x14ac:dyDescent="0.3">
      <c r="C50" s="64" t="s">
        <v>34</v>
      </c>
      <c r="D50" s="65"/>
      <c r="E50" s="65">
        <f>SUM(E47:E49)</f>
        <v>1675555</v>
      </c>
      <c r="F50" s="71" t="s">
        <v>36</v>
      </c>
      <c r="G50" s="71">
        <f>+E50*G46</f>
        <v>502666.5</v>
      </c>
      <c r="H50" s="67"/>
      <c r="I50" s="68" t="s">
        <v>41</v>
      </c>
      <c r="J50" s="67"/>
      <c r="K50" s="67"/>
      <c r="L50" s="69">
        <f>+G50</f>
        <v>502666.5</v>
      </c>
    </row>
    <row r="52" spans="3:13" x14ac:dyDescent="0.25">
      <c r="C52" s="86" t="s">
        <v>42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2024-06-05T03:16:41Z</dcterms:created>
  <dcterms:modified xsi:type="dcterms:W3CDTF">2024-06-05T05:47:35Z</dcterms:modified>
</cp:coreProperties>
</file>