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"/>
    </mc:Choice>
  </mc:AlternateContent>
  <xr:revisionPtr revIDLastSave="0" documentId="13_ncr:1_{B985C3D0-7087-473F-A385-429C690BB4AA}" xr6:coauthVersionLast="47" xr6:coauthVersionMax="47" xr10:uidLastSave="{00000000-0000-0000-0000-000000000000}"/>
  <bookViews>
    <workbookView xWindow="-120" yWindow="-120" windowWidth="29040" windowHeight="15720" xr2:uid="{22ACE7A5-D3A4-410A-91F9-5712606B8CF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3" i="1" l="1"/>
  <c r="AG17" i="1"/>
  <c r="AF17" i="1"/>
  <c r="AE17" i="1"/>
  <c r="AD17" i="1"/>
  <c r="AC17" i="1"/>
  <c r="AG13" i="1"/>
  <c r="AF13" i="1"/>
  <c r="AE13" i="1"/>
  <c r="AD13" i="1"/>
  <c r="AC13" i="1"/>
  <c r="AD23" i="1"/>
  <c r="AE23" i="1" s="1"/>
  <c r="AF23" i="1" s="1"/>
  <c r="AG23" i="1" s="1"/>
  <c r="AC23" i="1"/>
  <c r="AG24" i="1"/>
  <c r="AF24" i="1"/>
  <c r="AE24" i="1"/>
  <c r="AD24" i="1"/>
  <c r="AC24" i="1"/>
  <c r="AG22" i="1"/>
  <c r="AF22" i="1"/>
  <c r="AE22" i="1"/>
  <c r="AD22" i="1"/>
  <c r="AC22" i="1"/>
  <c r="AD25" i="1"/>
  <c r="AD26" i="1" s="1"/>
  <c r="AD12" i="1" s="1"/>
  <c r="AC25" i="1"/>
  <c r="AC26" i="1" s="1"/>
  <c r="AC12" i="1" s="1"/>
  <c r="AC14" i="1" s="1"/>
  <c r="AC15" i="1" s="1"/>
  <c r="AG21" i="1"/>
  <c r="AF21" i="1"/>
  <c r="AE21" i="1"/>
  <c r="AD21" i="1"/>
  <c r="AC21" i="1"/>
  <c r="Y61" i="1"/>
  <c r="Y60" i="1"/>
  <c r="Y62" i="1"/>
  <c r="Y63" i="1" s="1"/>
  <c r="Y49" i="1"/>
  <c r="Y48" i="1"/>
  <c r="Y50" i="1"/>
  <c r="Y51" i="1" s="1"/>
  <c r="Y37" i="1"/>
  <c r="Y36" i="1"/>
  <c r="Y38" i="1" s="1"/>
  <c r="Y39" i="1" s="1"/>
  <c r="Y27" i="1"/>
  <c r="Y25" i="1"/>
  <c r="Y26" i="1" s="1"/>
  <c r="Y24" i="1"/>
  <c r="Y15" i="1"/>
  <c r="Y14" i="1"/>
  <c r="Y13" i="1"/>
  <c r="Y12" i="1"/>
  <c r="V63" i="1"/>
  <c r="V51" i="1"/>
  <c r="V39" i="1"/>
  <c r="V27" i="1"/>
  <c r="V15" i="1"/>
  <c r="U63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" i="1"/>
  <c r="U5" i="1"/>
  <c r="U4" i="1"/>
  <c r="T15" i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14" i="1"/>
  <c r="T13" i="1"/>
  <c r="T12" i="1"/>
  <c r="T11" i="1"/>
  <c r="T10" i="1"/>
  <c r="T9" i="1"/>
  <c r="T8" i="1"/>
  <c r="T7" i="1"/>
  <c r="T6" i="1"/>
  <c r="T5" i="1"/>
  <c r="T4" i="1"/>
  <c r="S64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8" i="1"/>
  <c r="S7" i="1"/>
  <c r="S6" i="1"/>
  <c r="S5" i="1"/>
  <c r="S4" i="1"/>
  <c r="Q4" i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B10" i="1"/>
  <c r="B14" i="1" s="1"/>
  <c r="C15" i="1" s="1"/>
  <c r="AD14" i="1" l="1"/>
  <c r="AD15" i="1" s="1"/>
  <c r="AE25" i="1"/>
  <c r="AE26" i="1" s="1"/>
  <c r="AE12" i="1" s="1"/>
  <c r="AE14" i="1" s="1"/>
  <c r="AE15" i="1" s="1"/>
  <c r="AF25" i="1"/>
  <c r="AF26" i="1" s="1"/>
  <c r="AF12" i="1" s="1"/>
  <c r="AF14" i="1" s="1"/>
  <c r="AF15" i="1" s="1"/>
  <c r="AG25" i="1"/>
  <c r="AG26" i="1" s="1"/>
  <c r="AG12" i="1" s="1"/>
  <c r="AG14" i="1" s="1"/>
  <c r="AG15" i="1" s="1"/>
  <c r="Q5" i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B19" i="1"/>
  <c r="B28" i="1"/>
  <c r="C29" i="1" s="1"/>
  <c r="F4" i="1"/>
  <c r="C20" i="1" l="1"/>
  <c r="O4" i="1"/>
  <c r="Q64" i="1"/>
  <c r="H4" i="1"/>
  <c r="B24" i="1" l="1"/>
  <c r="C25" i="1" s="1"/>
  <c r="C31" i="1" s="1"/>
  <c r="N4" i="1"/>
  <c r="P4" i="1" s="1"/>
  <c r="I4" i="1"/>
  <c r="F5" i="1" s="1"/>
  <c r="H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I5" i="1" l="1"/>
  <c r="F6" i="1" s="1"/>
  <c r="H6" i="1" s="1"/>
  <c r="N5" i="1"/>
  <c r="P5" i="1" s="1"/>
  <c r="O64" i="1"/>
  <c r="I6" i="1" l="1"/>
  <c r="F7" i="1" s="1"/>
  <c r="H7" i="1" s="1"/>
  <c r="N6" i="1"/>
  <c r="P6" i="1" s="1"/>
  <c r="I7" i="1" l="1"/>
  <c r="F8" i="1" s="1"/>
  <c r="H8" i="1" s="1"/>
  <c r="N7" i="1"/>
  <c r="P7" i="1" s="1"/>
  <c r="I8" i="1" l="1"/>
  <c r="F9" i="1" s="1"/>
  <c r="H9" i="1" s="1"/>
  <c r="N8" i="1"/>
  <c r="P8" i="1" s="1"/>
  <c r="I9" i="1" l="1"/>
  <c r="F10" i="1" s="1"/>
  <c r="H10" i="1" s="1"/>
  <c r="N9" i="1"/>
  <c r="P9" i="1" s="1"/>
  <c r="I10" i="1" l="1"/>
  <c r="F11" i="1" s="1"/>
  <c r="N10" i="1"/>
  <c r="P10" i="1" s="1"/>
  <c r="H11" i="1" l="1"/>
  <c r="N11" i="1" s="1"/>
  <c r="P11" i="1" s="1"/>
  <c r="I11" i="1"/>
  <c r="F12" i="1" s="1"/>
  <c r="H12" i="1" s="1"/>
  <c r="I12" i="1" l="1"/>
  <c r="F13" i="1" s="1"/>
  <c r="N12" i="1"/>
  <c r="P12" i="1" s="1"/>
  <c r="H13" i="1" l="1"/>
  <c r="N13" i="1" s="1"/>
  <c r="P13" i="1" s="1"/>
  <c r="I13" i="1"/>
  <c r="F14" i="1" s="1"/>
  <c r="H14" i="1" l="1"/>
  <c r="N14" i="1" s="1"/>
  <c r="P14" i="1" s="1"/>
  <c r="I14" i="1"/>
  <c r="F15" i="1" s="1"/>
  <c r="H15" i="1" s="1"/>
  <c r="I15" i="1" l="1"/>
  <c r="F16" i="1" s="1"/>
  <c r="H16" i="1" s="1"/>
  <c r="N15" i="1"/>
  <c r="P15" i="1" s="1"/>
  <c r="I16" i="1" l="1"/>
  <c r="F17" i="1" s="1"/>
  <c r="H17" i="1" s="1"/>
  <c r="N16" i="1"/>
  <c r="P16" i="1" s="1"/>
  <c r="I17" i="1" l="1"/>
  <c r="F18" i="1" s="1"/>
  <c r="H18" i="1" s="1"/>
  <c r="N17" i="1"/>
  <c r="P17" i="1" s="1"/>
  <c r="I18" i="1" l="1"/>
  <c r="F19" i="1" s="1"/>
  <c r="H19" i="1" s="1"/>
  <c r="N18" i="1"/>
  <c r="P18" i="1" s="1"/>
  <c r="I19" i="1" l="1"/>
  <c r="F20" i="1" s="1"/>
  <c r="N19" i="1"/>
  <c r="P19" i="1" s="1"/>
  <c r="H20" i="1" l="1"/>
  <c r="N20" i="1" s="1"/>
  <c r="P20" i="1" s="1"/>
  <c r="I20" i="1"/>
  <c r="F21" i="1" s="1"/>
  <c r="H21" i="1" s="1"/>
  <c r="I21" i="1" l="1"/>
  <c r="F22" i="1" s="1"/>
  <c r="N21" i="1"/>
  <c r="P21" i="1" s="1"/>
  <c r="H22" i="1" l="1"/>
  <c r="N22" i="1" s="1"/>
  <c r="P22" i="1" s="1"/>
  <c r="I22" i="1"/>
  <c r="F23" i="1" s="1"/>
  <c r="H23" i="1" l="1"/>
  <c r="N23" i="1" s="1"/>
  <c r="P23" i="1" s="1"/>
  <c r="I23" i="1"/>
  <c r="F24" i="1" s="1"/>
  <c r="H24" i="1" s="1"/>
  <c r="I24" i="1" l="1"/>
  <c r="F25" i="1" s="1"/>
  <c r="H25" i="1" s="1"/>
  <c r="N24" i="1"/>
  <c r="P24" i="1" s="1"/>
  <c r="I25" i="1" l="1"/>
  <c r="F26" i="1" s="1"/>
  <c r="H26" i="1" s="1"/>
  <c r="N25" i="1"/>
  <c r="P25" i="1" s="1"/>
  <c r="I26" i="1" l="1"/>
  <c r="F27" i="1" s="1"/>
  <c r="H27" i="1" s="1"/>
  <c r="N26" i="1"/>
  <c r="P26" i="1" s="1"/>
  <c r="I27" i="1" l="1"/>
  <c r="F28" i="1" s="1"/>
  <c r="N27" i="1"/>
  <c r="P27" i="1" s="1"/>
  <c r="H28" i="1" l="1"/>
  <c r="N28" i="1" s="1"/>
  <c r="P28" i="1" s="1"/>
  <c r="I28" i="1"/>
  <c r="F29" i="1" s="1"/>
  <c r="H29" i="1" s="1"/>
  <c r="I29" i="1" l="1"/>
  <c r="F30" i="1" s="1"/>
  <c r="H30" i="1" s="1"/>
  <c r="N29" i="1"/>
  <c r="P29" i="1" s="1"/>
  <c r="I30" i="1" l="1"/>
  <c r="F31" i="1" s="1"/>
  <c r="H31" i="1" s="1"/>
  <c r="N30" i="1"/>
  <c r="P30" i="1" s="1"/>
  <c r="I31" i="1" l="1"/>
  <c r="F32" i="1" s="1"/>
  <c r="H32" i="1" s="1"/>
  <c r="N31" i="1"/>
  <c r="P31" i="1" s="1"/>
  <c r="I32" i="1" l="1"/>
  <c r="F33" i="1" s="1"/>
  <c r="N32" i="1"/>
  <c r="P32" i="1" s="1"/>
  <c r="H33" i="1" l="1"/>
  <c r="N33" i="1" s="1"/>
  <c r="P33" i="1" s="1"/>
  <c r="I33" i="1"/>
  <c r="F34" i="1" s="1"/>
  <c r="H34" i="1" s="1"/>
  <c r="I34" i="1" l="1"/>
  <c r="F35" i="1" s="1"/>
  <c r="H35" i="1" s="1"/>
  <c r="N34" i="1"/>
  <c r="P34" i="1" s="1"/>
  <c r="I35" i="1" l="1"/>
  <c r="F36" i="1" s="1"/>
  <c r="H36" i="1" s="1"/>
  <c r="N35" i="1"/>
  <c r="P35" i="1" s="1"/>
  <c r="I36" i="1" l="1"/>
  <c r="F37" i="1" s="1"/>
  <c r="N36" i="1"/>
  <c r="P36" i="1" s="1"/>
  <c r="H37" i="1" l="1"/>
  <c r="N37" i="1" s="1"/>
  <c r="P37" i="1" s="1"/>
  <c r="I37" i="1"/>
  <c r="F38" i="1" s="1"/>
  <c r="H38" i="1" l="1"/>
  <c r="N38" i="1" s="1"/>
  <c r="P38" i="1" s="1"/>
  <c r="I38" i="1" l="1"/>
  <c r="F39" i="1" s="1"/>
  <c r="H39" i="1"/>
  <c r="N39" i="1" s="1"/>
  <c r="P39" i="1" s="1"/>
  <c r="I39" i="1"/>
  <c r="F40" i="1" s="1"/>
  <c r="H40" i="1" s="1"/>
  <c r="I40" i="1" l="1"/>
  <c r="F41" i="1" s="1"/>
  <c r="H41" i="1" s="1"/>
  <c r="N40" i="1"/>
  <c r="P40" i="1" s="1"/>
  <c r="I41" i="1" l="1"/>
  <c r="F42" i="1" s="1"/>
  <c r="H42" i="1" s="1"/>
  <c r="N41" i="1"/>
  <c r="P41" i="1" s="1"/>
  <c r="I42" i="1" l="1"/>
  <c r="F43" i="1" s="1"/>
  <c r="N42" i="1"/>
  <c r="P42" i="1" s="1"/>
  <c r="H43" i="1" l="1"/>
  <c r="N43" i="1" s="1"/>
  <c r="P43" i="1" s="1"/>
  <c r="I43" i="1" l="1"/>
  <c r="F44" i="1" s="1"/>
  <c r="H44" i="1" s="1"/>
  <c r="I44" i="1"/>
  <c r="F45" i="1" s="1"/>
  <c r="N44" i="1"/>
  <c r="P44" i="1" s="1"/>
  <c r="H45" i="1" l="1"/>
  <c r="N45" i="1" s="1"/>
  <c r="P45" i="1" s="1"/>
  <c r="I45" i="1" l="1"/>
  <c r="F46" i="1" s="1"/>
  <c r="H46" i="1" s="1"/>
  <c r="N46" i="1" l="1"/>
  <c r="P46" i="1" s="1"/>
  <c r="I46" i="1"/>
  <c r="F47" i="1" s="1"/>
  <c r="H47" i="1" s="1"/>
  <c r="N47" i="1" l="1"/>
  <c r="P47" i="1" s="1"/>
  <c r="I47" i="1"/>
  <c r="F48" i="1" s="1"/>
  <c r="H48" i="1" s="1"/>
  <c r="N48" i="1" s="1"/>
  <c r="P48" i="1" s="1"/>
  <c r="I48" i="1" l="1"/>
  <c r="F49" i="1" s="1"/>
  <c r="H49" i="1" s="1"/>
  <c r="N49" i="1"/>
  <c r="P49" i="1" s="1"/>
  <c r="I49" i="1" l="1"/>
  <c r="F50" i="1" s="1"/>
  <c r="H50" i="1" s="1"/>
  <c r="N50" i="1" l="1"/>
  <c r="P50" i="1" s="1"/>
  <c r="I50" i="1"/>
  <c r="F51" i="1" s="1"/>
  <c r="H51" i="1" s="1"/>
  <c r="N51" i="1" s="1"/>
  <c r="P51" i="1" s="1"/>
  <c r="I51" i="1" l="1"/>
  <c r="F52" i="1" s="1"/>
  <c r="H52" i="1" s="1"/>
  <c r="I52" i="1"/>
  <c r="F53" i="1" s="1"/>
  <c r="N52" i="1"/>
  <c r="P52" i="1" s="1"/>
  <c r="H53" i="1" l="1"/>
  <c r="N53" i="1" s="1"/>
  <c r="P53" i="1" s="1"/>
  <c r="I53" i="1"/>
  <c r="F54" i="1" s="1"/>
  <c r="H54" i="1" s="1"/>
  <c r="I54" i="1" l="1"/>
  <c r="F55" i="1" s="1"/>
  <c r="H55" i="1" s="1"/>
  <c r="N54" i="1"/>
  <c r="P54" i="1" s="1"/>
  <c r="I55" i="1" l="1"/>
  <c r="F56" i="1" s="1"/>
  <c r="H56" i="1" s="1"/>
  <c r="N55" i="1"/>
  <c r="P55" i="1" s="1"/>
  <c r="I56" i="1" l="1"/>
  <c r="F57" i="1" s="1"/>
  <c r="H57" i="1" s="1"/>
  <c r="N56" i="1"/>
  <c r="P56" i="1" s="1"/>
  <c r="I57" i="1" l="1"/>
  <c r="F58" i="1" s="1"/>
  <c r="N57" i="1"/>
  <c r="P57" i="1" s="1"/>
  <c r="H58" i="1" l="1"/>
  <c r="N58" i="1" s="1"/>
  <c r="P58" i="1" s="1"/>
  <c r="I58" i="1" l="1"/>
  <c r="F59" i="1" s="1"/>
  <c r="H59" i="1" l="1"/>
  <c r="N59" i="1" s="1"/>
  <c r="P59" i="1" s="1"/>
  <c r="I59" i="1"/>
  <c r="F60" i="1" s="1"/>
  <c r="H60" i="1" l="1"/>
  <c r="N60" i="1" s="1"/>
  <c r="P60" i="1" s="1"/>
  <c r="I60" i="1"/>
  <c r="F61" i="1" s="1"/>
  <c r="H61" i="1" l="1"/>
  <c r="N61" i="1" s="1"/>
  <c r="P61" i="1" s="1"/>
  <c r="I61" i="1" l="1"/>
  <c r="F62" i="1" s="1"/>
  <c r="H62" i="1" s="1"/>
  <c r="I62" i="1" l="1"/>
  <c r="F63" i="1" s="1"/>
  <c r="H63" i="1" s="1"/>
  <c r="N62" i="1"/>
  <c r="P62" i="1" s="1"/>
  <c r="I63" i="1" l="1"/>
  <c r="N63" i="1"/>
  <c r="N64" i="1" l="1"/>
  <c r="P63" i="1"/>
  <c r="P64" i="1" s="1"/>
</calcChain>
</file>

<file path=xl/sharedStrings.xml><?xml version="1.0" encoding="utf-8"?>
<sst xmlns="http://schemas.openxmlformats.org/spreadsheetml/2006/main" count="96" uniqueCount="64">
  <si>
    <t>contrato de arrendamiento de un terreno</t>
  </si>
  <si>
    <t>Pago</t>
  </si>
  <si>
    <t>Plazo</t>
  </si>
  <si>
    <t>meses</t>
  </si>
  <si>
    <t>CONTABILIDAD DE ARRENDATARIOS OPERATIVOS (NIIF 16)</t>
  </si>
  <si>
    <t>Tasa de interés</t>
  </si>
  <si>
    <t>incremental</t>
  </si>
  <si>
    <t>VP</t>
  </si>
  <si>
    <t>Paso 1: Calcular el VP de los pagos</t>
  </si>
  <si>
    <t>Paso 2: Registro contable</t>
  </si>
  <si>
    <t>Activo DU</t>
  </si>
  <si>
    <t>Pasivo por A.</t>
  </si>
  <si>
    <t>D</t>
  </si>
  <si>
    <t>H</t>
  </si>
  <si>
    <t>Paso 3: Tratamiento posterior del ADU</t>
  </si>
  <si>
    <t>Gasto por deprec</t>
  </si>
  <si>
    <t>x60</t>
  </si>
  <si>
    <t>Paso 4: Tratamiento posterior del Pasivo</t>
  </si>
  <si>
    <t>SI</t>
  </si>
  <si>
    <t>(-) PAGOS</t>
  </si>
  <si>
    <t>(+) CF</t>
  </si>
  <si>
    <t>SF</t>
  </si>
  <si>
    <t>Gasto financiero</t>
  </si>
  <si>
    <t>Efectivo</t>
  </si>
  <si>
    <t>Saldo del pasivo</t>
  </si>
  <si>
    <t>COSTO AMORTIZADO</t>
  </si>
  <si>
    <t>GASTOS NIIF</t>
  </si>
  <si>
    <t>DEPREC</t>
  </si>
  <si>
    <t>CF</t>
  </si>
  <si>
    <t>GASTOS TAX</t>
  </si>
  <si>
    <t>PAGOS</t>
  </si>
  <si>
    <t>SUMA</t>
  </si>
  <si>
    <t>DIFER.</t>
  </si>
  <si>
    <t>TEMPORAL</t>
  </si>
  <si>
    <t>TEMPORARIA</t>
  </si>
  <si>
    <t>ACTIVO</t>
  </si>
  <si>
    <t>IRD</t>
  </si>
  <si>
    <t>VL Pasivo</t>
  </si>
  <si>
    <t>VL Activo</t>
  </si>
  <si>
    <t>Dif Temporaria</t>
  </si>
  <si>
    <t>AIRD</t>
  </si>
  <si>
    <t>Met del balance</t>
  </si>
  <si>
    <t>Met del resultado</t>
  </si>
  <si>
    <t>Año 1</t>
  </si>
  <si>
    <t>Año 2</t>
  </si>
  <si>
    <t>Año 3</t>
  </si>
  <si>
    <t>Año 4</t>
  </si>
  <si>
    <t>Año 5</t>
  </si>
  <si>
    <t>Ventas</t>
  </si>
  <si>
    <t>Costo de v</t>
  </si>
  <si>
    <t>:</t>
  </si>
  <si>
    <t>Utilidad antes de imp</t>
  </si>
  <si>
    <t>Impuesto a la renta</t>
  </si>
  <si>
    <t xml:space="preserve">  Corriente</t>
  </si>
  <si>
    <t xml:space="preserve">  Diferido</t>
  </si>
  <si>
    <t>Utilidad neta</t>
  </si>
  <si>
    <t>EXTRA CONTABLE</t>
  </si>
  <si>
    <t>CONCILIACION TRIBUTARIA:</t>
  </si>
  <si>
    <t>UTILIDAD CONTABLE</t>
  </si>
  <si>
    <t>UTILIDAD TRIBUTARIA</t>
  </si>
  <si>
    <t>(+) GASTO FIN</t>
  </si>
  <si>
    <t>(+) DEPRECIACION</t>
  </si>
  <si>
    <t>Impuesto corriente</t>
  </si>
  <si>
    <t>C+D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</si>
</sst>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.000%"/>
    <numFmt numFmtId="168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4" fillId="2" borderId="0" xfId="0" applyFont="1" applyFill="1"/>
    <xf numFmtId="3" fontId="2" fillId="0" borderId="0" xfId="0" applyNumberFormat="1" applyFont="1"/>
    <xf numFmtId="0" fontId="2" fillId="3" borderId="0" xfId="0" applyFont="1" applyFill="1"/>
    <xf numFmtId="3" fontId="2" fillId="3" borderId="0" xfId="0" applyNumberFormat="1" applyFont="1" applyFill="1"/>
    <xf numFmtId="0" fontId="2" fillId="4" borderId="0" xfId="0" applyFont="1" applyFill="1"/>
    <xf numFmtId="165" fontId="2" fillId="4" borderId="0" xfId="0" applyNumberFormat="1" applyFont="1" applyFill="1"/>
    <xf numFmtId="0" fontId="2" fillId="5" borderId="0" xfId="0" applyFont="1" applyFill="1"/>
    <xf numFmtId="3" fontId="2" fillId="5" borderId="0" xfId="0" applyNumberFormat="1" applyFont="1" applyFill="1"/>
    <xf numFmtId="0" fontId="5" fillId="0" borderId="0" xfId="0" applyFont="1"/>
    <xf numFmtId="0" fontId="5" fillId="0" borderId="0" xfId="0" applyFont="1" applyAlignment="1">
      <alignment horizontal="center"/>
    </xf>
    <xf numFmtId="3" fontId="2" fillId="6" borderId="0" xfId="0" applyNumberFormat="1" applyFont="1" applyFill="1"/>
    <xf numFmtId="0" fontId="5" fillId="7" borderId="0" xfId="0" applyFont="1" applyFill="1"/>
    <xf numFmtId="3" fontId="5" fillId="7" borderId="0" xfId="0" applyNumberFormat="1" applyFont="1" applyFill="1"/>
    <xf numFmtId="3" fontId="5" fillId="6" borderId="0" xfId="0" applyNumberFormat="1" applyFont="1" applyFill="1"/>
    <xf numFmtId="0" fontId="3" fillId="8" borderId="0" xfId="0" applyFont="1" applyFill="1"/>
    <xf numFmtId="0" fontId="6" fillId="8" borderId="0" xfId="0" applyFont="1" applyFill="1"/>
    <xf numFmtId="0" fontId="6" fillId="8" borderId="0" xfId="0" applyFont="1" applyFill="1" applyAlignment="1">
      <alignment horizontal="center"/>
    </xf>
    <xf numFmtId="3" fontId="2" fillId="9" borderId="0" xfId="0" applyNumberFormat="1" applyFont="1" applyFill="1"/>
    <xf numFmtId="0" fontId="2" fillId="9" borderId="0" xfId="0" applyFont="1" applyFill="1"/>
    <xf numFmtId="0" fontId="5" fillId="9" borderId="0" xfId="0" applyFont="1" applyFill="1"/>
    <xf numFmtId="3" fontId="5" fillId="9" borderId="0" xfId="0" applyNumberFormat="1" applyFont="1" applyFill="1"/>
    <xf numFmtId="0" fontId="7" fillId="2" borderId="0" xfId="0" applyFont="1" applyFill="1"/>
    <xf numFmtId="9" fontId="5" fillId="0" borderId="0" xfId="0" applyNumberFormat="1" applyFont="1"/>
    <xf numFmtId="0" fontId="5" fillId="6" borderId="2" xfId="0" applyFont="1" applyFill="1" applyBorder="1"/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/>
    <xf numFmtId="0" fontId="5" fillId="0" borderId="7" xfId="0" applyFont="1" applyBorder="1"/>
    <xf numFmtId="3" fontId="5" fillId="0" borderId="8" xfId="0" applyNumberFormat="1" applyFont="1" applyBorder="1"/>
    <xf numFmtId="3" fontId="5" fillId="0" borderId="9" xfId="0" applyNumberFormat="1" applyFont="1" applyBorder="1"/>
    <xf numFmtId="0" fontId="2" fillId="10" borderId="3" xfId="0" applyFont="1" applyFill="1" applyBorder="1"/>
    <xf numFmtId="0" fontId="2" fillId="10" borderId="4" xfId="0" applyFont="1" applyFill="1" applyBorder="1"/>
    <xf numFmtId="0" fontId="2" fillId="10" borderId="5" xfId="0" applyFont="1" applyFill="1" applyBorder="1"/>
    <xf numFmtId="0" fontId="5" fillId="10" borderId="7" xfId="0" applyFont="1" applyFill="1" applyBorder="1"/>
    <xf numFmtId="3" fontId="5" fillId="10" borderId="8" xfId="0" applyNumberFormat="1" applyFont="1" applyFill="1" applyBorder="1"/>
    <xf numFmtId="0" fontId="5" fillId="10" borderId="5" xfId="0" applyFont="1" applyFill="1" applyBorder="1"/>
    <xf numFmtId="3" fontId="5" fillId="10" borderId="0" xfId="0" applyNumberFormat="1" applyFont="1" applyFill="1" applyBorder="1"/>
    <xf numFmtId="0" fontId="5" fillId="10" borderId="2" xfId="0" applyFont="1" applyFill="1" applyBorder="1"/>
    <xf numFmtId="168" fontId="2" fillId="0" borderId="0" xfId="1" applyNumberFormat="1" applyFont="1"/>
    <xf numFmtId="168" fontId="2" fillId="0" borderId="0" xfId="0" applyNumberFormat="1" applyFont="1" applyBorder="1"/>
    <xf numFmtId="168" fontId="2" fillId="0" borderId="6" xfId="0" applyNumberFormat="1" applyFont="1" applyBorder="1"/>
    <xf numFmtId="9" fontId="5" fillId="10" borderId="0" xfId="0" applyNumberFormat="1" applyFont="1" applyFill="1"/>
    <xf numFmtId="10" fontId="5" fillId="10" borderId="0" xfId="0" applyNumberFormat="1" applyFont="1" applyFill="1"/>
    <xf numFmtId="0" fontId="5" fillId="10" borderId="0" xfId="0" applyFont="1" applyFill="1"/>
    <xf numFmtId="3" fontId="5" fillId="10" borderId="0" xfId="0" applyNumberFormat="1" applyFont="1" applyFill="1"/>
    <xf numFmtId="3" fontId="5" fillId="10" borderId="6" xfId="0" applyNumberFormat="1" applyFont="1" applyFill="1" applyBorder="1"/>
    <xf numFmtId="0" fontId="9" fillId="0" borderId="5" xfId="0" applyFont="1" applyBorder="1"/>
    <xf numFmtId="3" fontId="9" fillId="0" borderId="0" xfId="0" applyNumberFormat="1" applyFont="1" applyBorder="1"/>
    <xf numFmtId="3" fontId="9" fillId="0" borderId="6" xfId="0" applyNumberFormat="1" applyFont="1" applyBorder="1"/>
    <xf numFmtId="3" fontId="9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E0A86-0FE7-45EB-8B02-6CB2096538EC}">
  <dimension ref="A1:AI64"/>
  <sheetViews>
    <sheetView tabSelected="1" zoomScale="130" zoomScaleNormal="130" workbookViewId="0">
      <selection activeCell="C1" sqref="A1:C1048576"/>
    </sheetView>
  </sheetViews>
  <sheetFormatPr baseColWidth="10" defaultRowHeight="15.75" x14ac:dyDescent="0.25"/>
  <cols>
    <col min="1" max="1" width="18.7109375" style="1" customWidth="1"/>
    <col min="2" max="4" width="11.42578125" style="1"/>
    <col min="5" max="5" width="3.42578125" style="1" bestFit="1" customWidth="1"/>
    <col min="6" max="12" width="11.42578125" style="1"/>
    <col min="13" max="13" width="3.42578125" style="1" bestFit="1" customWidth="1"/>
    <col min="14" max="18" width="11.42578125" style="1"/>
    <col min="19" max="19" width="14" style="1" customWidth="1"/>
    <col min="20" max="20" width="14.28515625" style="1" customWidth="1"/>
    <col min="21" max="21" width="16.28515625" style="1" customWidth="1"/>
    <col min="22" max="22" width="11.42578125" style="10"/>
    <col min="23" max="23" width="3.5703125" style="1" customWidth="1"/>
    <col min="24" max="24" width="15" style="1" bestFit="1" customWidth="1"/>
    <col min="25" max="25" width="11.42578125" style="1"/>
    <col min="26" max="27" width="2.140625" style="1" customWidth="1"/>
    <col min="28" max="28" width="27.140625" style="1" customWidth="1"/>
    <col min="29" max="33" width="13.140625" style="1" bestFit="1" customWidth="1"/>
    <col min="34" max="16384" width="11.42578125" style="1"/>
  </cols>
  <sheetData>
    <row r="1" spans="1:35" s="2" customFormat="1" ht="23.25" x14ac:dyDescent="0.35">
      <c r="A1" s="2" t="s">
        <v>4</v>
      </c>
      <c r="V1" s="23"/>
    </row>
    <row r="2" spans="1:35" ht="16.5" thickBot="1" x14ac:dyDescent="0.3">
      <c r="A2" s="1" t="s">
        <v>0</v>
      </c>
      <c r="E2" s="17" t="s">
        <v>25</v>
      </c>
      <c r="F2" s="17"/>
      <c r="G2" s="16"/>
      <c r="H2" s="16"/>
      <c r="I2" s="16"/>
      <c r="M2" s="10" t="s">
        <v>26</v>
      </c>
      <c r="Q2" s="10" t="s">
        <v>29</v>
      </c>
      <c r="S2" s="18" t="s">
        <v>32</v>
      </c>
      <c r="T2" s="18" t="s">
        <v>32</v>
      </c>
      <c r="U2" s="18" t="s">
        <v>35</v>
      </c>
      <c r="V2" s="24">
        <v>0.3</v>
      </c>
    </row>
    <row r="3" spans="1:35" x14ac:dyDescent="0.25">
      <c r="E3" s="16"/>
      <c r="F3" s="18" t="s">
        <v>18</v>
      </c>
      <c r="G3" s="18" t="s">
        <v>19</v>
      </c>
      <c r="H3" s="18" t="s">
        <v>20</v>
      </c>
      <c r="I3" s="18" t="s">
        <v>21</v>
      </c>
      <c r="M3" s="16"/>
      <c r="N3" s="18" t="s">
        <v>28</v>
      </c>
      <c r="O3" s="18" t="s">
        <v>27</v>
      </c>
      <c r="P3" s="18" t="s">
        <v>31</v>
      </c>
      <c r="Q3" s="18" t="s">
        <v>30</v>
      </c>
      <c r="S3" s="18" t="s">
        <v>33</v>
      </c>
      <c r="T3" s="18" t="s">
        <v>34</v>
      </c>
      <c r="U3" s="18" t="s">
        <v>36</v>
      </c>
      <c r="AB3" s="25"/>
      <c r="AC3" s="26" t="s">
        <v>43</v>
      </c>
      <c r="AD3" s="26" t="s">
        <v>44</v>
      </c>
      <c r="AE3" s="26" t="s">
        <v>45</v>
      </c>
      <c r="AF3" s="26" t="s">
        <v>46</v>
      </c>
      <c r="AG3" s="27" t="s">
        <v>47</v>
      </c>
    </row>
    <row r="4" spans="1:35" x14ac:dyDescent="0.25">
      <c r="A4" s="4" t="s">
        <v>1</v>
      </c>
      <c r="B4" s="5">
        <v>100000</v>
      </c>
      <c r="C4" s="4"/>
      <c r="E4" s="16">
        <v>1</v>
      </c>
      <c r="F4" s="9">
        <f>+C15</f>
        <v>4540458.8790286267</v>
      </c>
      <c r="G4" s="12">
        <f>-B4</f>
        <v>-100000</v>
      </c>
      <c r="H4" s="12">
        <f>(F4+G4)*$B$7</f>
        <v>44404.588790286267</v>
      </c>
      <c r="I4" s="14">
        <f>+F4+G4+H4</f>
        <v>4484863.467818913</v>
      </c>
      <c r="M4" s="16">
        <v>1</v>
      </c>
      <c r="N4" s="3">
        <f>+H4</f>
        <v>44404.588790286267</v>
      </c>
      <c r="O4" s="3">
        <f>+B19</f>
        <v>75674.314650477114</v>
      </c>
      <c r="P4" s="19">
        <f>+N4+O4</f>
        <v>120078.90344076339</v>
      </c>
      <c r="Q4" s="3">
        <f>+B4</f>
        <v>100000</v>
      </c>
      <c r="S4" s="3">
        <f>+P4-Q4</f>
        <v>20078.903440763388</v>
      </c>
      <c r="T4" s="3">
        <f>+S4</f>
        <v>20078.903440763388</v>
      </c>
      <c r="U4" s="3">
        <f>+T4*$V$2</f>
        <v>6023.6710322290164</v>
      </c>
      <c r="AB4" s="28" t="s">
        <v>48</v>
      </c>
      <c r="AC4" s="29"/>
      <c r="AD4" s="29"/>
      <c r="AE4" s="29"/>
      <c r="AF4" s="29"/>
      <c r="AG4" s="30"/>
    </row>
    <row r="5" spans="1:35" x14ac:dyDescent="0.25">
      <c r="A5" s="4" t="s">
        <v>2</v>
      </c>
      <c r="B5" s="4">
        <v>60</v>
      </c>
      <c r="C5" s="4" t="s">
        <v>3</v>
      </c>
      <c r="E5" s="16">
        <f>+E4+1</f>
        <v>2</v>
      </c>
      <c r="F5" s="9">
        <f>+I4</f>
        <v>4484863.467818913</v>
      </c>
      <c r="G5" s="9">
        <f>+G4</f>
        <v>-100000</v>
      </c>
      <c r="H5" s="9">
        <f>(F5+G5)*$B$7</f>
        <v>43848.634678189133</v>
      </c>
      <c r="I5" s="9">
        <f>+F5+G5+H5</f>
        <v>4428712.1024971018</v>
      </c>
      <c r="M5" s="16">
        <f>+M4+1</f>
        <v>2</v>
      </c>
      <c r="N5" s="3">
        <f t="shared" ref="N5:N63" si="0">+H5</f>
        <v>43848.634678189133</v>
      </c>
      <c r="O5" s="3">
        <f>+O4</f>
        <v>75674.314650477114</v>
      </c>
      <c r="P5" s="19">
        <f t="shared" ref="P5:P63" si="1">+N5+O5</f>
        <v>119522.94932866625</v>
      </c>
      <c r="Q5" s="3">
        <f>+Q4</f>
        <v>100000</v>
      </c>
      <c r="S5" s="3">
        <f>+P5-Q5</f>
        <v>19522.949328666247</v>
      </c>
      <c r="T5" s="3">
        <f>+S5+T4</f>
        <v>39601.852769429635</v>
      </c>
      <c r="U5" s="3">
        <f>+T5*$V$2</f>
        <v>11880.555830828891</v>
      </c>
      <c r="AB5" s="28" t="s">
        <v>49</v>
      </c>
      <c r="AC5" s="29"/>
      <c r="AD5" s="29"/>
      <c r="AE5" s="29"/>
      <c r="AF5" s="29"/>
      <c r="AG5" s="30"/>
    </row>
    <row r="6" spans="1:35" x14ac:dyDescent="0.25">
      <c r="A6" s="6" t="s">
        <v>5</v>
      </c>
      <c r="B6" s="6"/>
      <c r="C6" s="6"/>
      <c r="E6" s="16">
        <f t="shared" ref="E6:E63" si="2">+E5+1</f>
        <v>3</v>
      </c>
      <c r="F6" s="9">
        <f>+I5</f>
        <v>4428712.1024971018</v>
      </c>
      <c r="G6" s="9">
        <f>+G5</f>
        <v>-100000</v>
      </c>
      <c r="H6" s="9">
        <f>(F6+G6)*$B$7</f>
        <v>43287.12102497102</v>
      </c>
      <c r="I6" s="9">
        <f>+F6+G6+H6</f>
        <v>4371999.2235220727</v>
      </c>
      <c r="M6" s="16">
        <f t="shared" ref="M6:M63" si="3">+M5+1</f>
        <v>3</v>
      </c>
      <c r="N6" s="3">
        <f t="shared" si="0"/>
        <v>43287.12102497102</v>
      </c>
      <c r="O6" s="3">
        <f>+O5</f>
        <v>75674.314650477114</v>
      </c>
      <c r="P6" s="19">
        <f t="shared" si="1"/>
        <v>118961.43567544813</v>
      </c>
      <c r="Q6" s="3">
        <f t="shared" ref="Q6:Q63" si="4">+Q5</f>
        <v>100000</v>
      </c>
      <c r="S6" s="3">
        <f>+P6-Q6</f>
        <v>18961.435675448127</v>
      </c>
      <c r="T6" s="3">
        <f>+S6+T5</f>
        <v>58563.288444877762</v>
      </c>
      <c r="U6" s="3">
        <f>+T6*$V$2</f>
        <v>17568.986533463329</v>
      </c>
      <c r="AB6" s="28" t="s">
        <v>50</v>
      </c>
      <c r="AC6" s="29"/>
      <c r="AD6" s="29"/>
      <c r="AE6" s="29"/>
      <c r="AF6" s="29"/>
      <c r="AG6" s="30"/>
    </row>
    <row r="7" spans="1:35" x14ac:dyDescent="0.25">
      <c r="A7" s="6" t="s">
        <v>6</v>
      </c>
      <c r="B7" s="7">
        <v>0.01</v>
      </c>
      <c r="C7" s="6"/>
      <c r="E7" s="16">
        <f t="shared" si="2"/>
        <v>4</v>
      </c>
      <c r="F7" s="9">
        <f t="shared" ref="F7:F10" si="5">+I6</f>
        <v>4371999.2235220727</v>
      </c>
      <c r="G7" s="9">
        <f t="shared" ref="G7:G10" si="6">+G6</f>
        <v>-100000</v>
      </c>
      <c r="H7" s="9">
        <f t="shared" ref="H7:H10" si="7">(F7+G7)*$B$7</f>
        <v>42719.992235220729</v>
      </c>
      <c r="I7" s="9">
        <f t="shared" ref="I7:I10" si="8">+F7+G7+H7</f>
        <v>4314719.2157572936</v>
      </c>
      <c r="M7" s="16">
        <f t="shared" si="3"/>
        <v>4</v>
      </c>
      <c r="N7" s="3">
        <f t="shared" si="0"/>
        <v>42719.992235220729</v>
      </c>
      <c r="O7" s="3">
        <f>+O6</f>
        <v>75674.314650477114</v>
      </c>
      <c r="P7" s="19">
        <f t="shared" si="1"/>
        <v>118394.30688569785</v>
      </c>
      <c r="Q7" s="3">
        <f t="shared" si="4"/>
        <v>100000</v>
      </c>
      <c r="S7" s="3">
        <f>+P7-Q7</f>
        <v>18394.30688569785</v>
      </c>
      <c r="T7" s="3">
        <f>+S7+T6</f>
        <v>76957.595330575612</v>
      </c>
      <c r="U7" s="3">
        <f t="shared" ref="U7:V63" si="9">+T7*$V$2</f>
        <v>23087.278599172681</v>
      </c>
      <c r="AB7" s="28" t="s">
        <v>50</v>
      </c>
      <c r="AC7" s="29"/>
      <c r="AD7" s="29"/>
      <c r="AE7" s="29"/>
      <c r="AF7" s="29"/>
      <c r="AG7" s="30"/>
    </row>
    <row r="8" spans="1:35" x14ac:dyDescent="0.25">
      <c r="E8" s="16">
        <f t="shared" si="2"/>
        <v>5</v>
      </c>
      <c r="F8" s="9">
        <f t="shared" si="5"/>
        <v>4314719.2157572936</v>
      </c>
      <c r="G8" s="9">
        <f t="shared" si="6"/>
        <v>-100000</v>
      </c>
      <c r="H8" s="9">
        <f t="shared" si="7"/>
        <v>42147.192157572936</v>
      </c>
      <c r="I8" s="9">
        <f t="shared" si="8"/>
        <v>4256866.4079148667</v>
      </c>
      <c r="M8" s="16">
        <f t="shared" si="3"/>
        <v>5</v>
      </c>
      <c r="N8" s="3">
        <f t="shared" si="0"/>
        <v>42147.192157572936</v>
      </c>
      <c r="O8" s="3">
        <f t="shared" ref="O8:O63" si="10">+O7</f>
        <v>75674.314650477114</v>
      </c>
      <c r="P8" s="19">
        <f t="shared" si="1"/>
        <v>117821.50680805005</v>
      </c>
      <c r="Q8" s="3">
        <f t="shared" si="4"/>
        <v>100000</v>
      </c>
      <c r="S8" s="3">
        <f>+P8-Q8</f>
        <v>17821.50680805005</v>
      </c>
      <c r="T8" s="3">
        <f>+S8+T7</f>
        <v>94779.102138625662</v>
      </c>
      <c r="U8" s="3">
        <f t="shared" si="9"/>
        <v>28433.730641587699</v>
      </c>
      <c r="AB8" s="28" t="s">
        <v>50</v>
      </c>
      <c r="AC8" s="29"/>
      <c r="AD8" s="29"/>
      <c r="AE8" s="29"/>
      <c r="AF8" s="29"/>
      <c r="AG8" s="30"/>
    </row>
    <row r="9" spans="1:35" x14ac:dyDescent="0.25">
      <c r="A9" s="10" t="s">
        <v>8</v>
      </c>
      <c r="E9" s="16">
        <f t="shared" si="2"/>
        <v>6</v>
      </c>
      <c r="F9" s="9">
        <f t="shared" si="5"/>
        <v>4256866.4079148667</v>
      </c>
      <c r="G9" s="9">
        <f t="shared" si="6"/>
        <v>-100000</v>
      </c>
      <c r="H9" s="9">
        <f t="shared" si="7"/>
        <v>41568.664079148664</v>
      </c>
      <c r="I9" s="9">
        <f t="shared" si="8"/>
        <v>4198435.071994015</v>
      </c>
      <c r="M9" s="16">
        <f t="shared" si="3"/>
        <v>6</v>
      </c>
      <c r="N9" s="3">
        <f t="shared" si="0"/>
        <v>41568.664079148664</v>
      </c>
      <c r="O9" s="3">
        <f t="shared" si="10"/>
        <v>75674.314650477114</v>
      </c>
      <c r="P9" s="19">
        <f t="shared" si="1"/>
        <v>117242.97872962579</v>
      </c>
      <c r="Q9" s="3">
        <f t="shared" si="4"/>
        <v>100000</v>
      </c>
      <c r="S9" s="3">
        <f t="shared" ref="S9:S63" si="11">+P9-Q9</f>
        <v>17242.978729625785</v>
      </c>
      <c r="T9" s="3">
        <f>+S9+T8</f>
        <v>112022.08086825145</v>
      </c>
      <c r="U9" s="3">
        <f t="shared" si="9"/>
        <v>33606.62426047543</v>
      </c>
      <c r="AB9" s="28" t="s">
        <v>50</v>
      </c>
      <c r="AC9" s="29"/>
      <c r="AD9" s="29"/>
      <c r="AE9" s="29"/>
      <c r="AF9" s="29"/>
      <c r="AG9" s="30"/>
    </row>
    <row r="10" spans="1:35" x14ac:dyDescent="0.25">
      <c r="A10" s="8" t="s">
        <v>7</v>
      </c>
      <c r="B10" s="9">
        <f>PV(B7,B5,-B4,0,1)</f>
        <v>4540458.8790286267</v>
      </c>
      <c r="C10" s="8"/>
      <c r="E10" s="16">
        <f t="shared" si="2"/>
        <v>7</v>
      </c>
      <c r="F10" s="9">
        <f t="shared" si="5"/>
        <v>4198435.071994015</v>
      </c>
      <c r="G10" s="9">
        <f t="shared" si="6"/>
        <v>-100000</v>
      </c>
      <c r="H10" s="9">
        <f t="shared" si="7"/>
        <v>40984.35071994015</v>
      </c>
      <c r="I10" s="9">
        <f t="shared" si="8"/>
        <v>4139419.4227139549</v>
      </c>
      <c r="M10" s="16">
        <f t="shared" si="3"/>
        <v>7</v>
      </c>
      <c r="N10" s="3">
        <f t="shared" si="0"/>
        <v>40984.35071994015</v>
      </c>
      <c r="O10" s="3">
        <f t="shared" si="10"/>
        <v>75674.314650477114</v>
      </c>
      <c r="P10" s="19">
        <f t="shared" si="1"/>
        <v>116658.66537041726</v>
      </c>
      <c r="Q10" s="3">
        <f t="shared" si="4"/>
        <v>100000</v>
      </c>
      <c r="S10" s="3">
        <f t="shared" si="11"/>
        <v>16658.665370417264</v>
      </c>
      <c r="T10" s="3">
        <f>+S10+T9</f>
        <v>128680.74623866871</v>
      </c>
      <c r="U10" s="3">
        <f t="shared" si="9"/>
        <v>38604.22387160061</v>
      </c>
      <c r="AB10" s="39" t="s">
        <v>51</v>
      </c>
      <c r="AC10" s="40">
        <v>800000</v>
      </c>
      <c r="AD10" s="40">
        <v>800000</v>
      </c>
      <c r="AE10" s="40">
        <v>800000</v>
      </c>
      <c r="AF10" s="40">
        <v>800000</v>
      </c>
      <c r="AG10" s="49">
        <v>800000</v>
      </c>
    </row>
    <row r="11" spans="1:35" x14ac:dyDescent="0.25">
      <c r="E11" s="16">
        <f t="shared" si="2"/>
        <v>8</v>
      </c>
      <c r="F11" s="9">
        <f t="shared" ref="F11:F30" si="12">+I10</f>
        <v>4139419.4227139549</v>
      </c>
      <c r="G11" s="9">
        <f t="shared" ref="G11:G30" si="13">+G10</f>
        <v>-100000</v>
      </c>
      <c r="H11" s="9">
        <f t="shared" ref="H11:H30" si="14">(F11+G11)*$B$7</f>
        <v>40394.194227139553</v>
      </c>
      <c r="I11" s="9">
        <f t="shared" ref="I11:I30" si="15">+F11+G11+H11</f>
        <v>4079813.6169410944</v>
      </c>
      <c r="M11" s="16">
        <f t="shared" si="3"/>
        <v>8</v>
      </c>
      <c r="N11" s="3">
        <f t="shared" si="0"/>
        <v>40394.194227139553</v>
      </c>
      <c r="O11" s="3">
        <f t="shared" si="10"/>
        <v>75674.314650477114</v>
      </c>
      <c r="P11" s="19">
        <f t="shared" si="1"/>
        <v>116068.50887761667</v>
      </c>
      <c r="Q11" s="3">
        <f t="shared" si="4"/>
        <v>100000</v>
      </c>
      <c r="S11" s="3">
        <f t="shared" si="11"/>
        <v>16068.508877616667</v>
      </c>
      <c r="T11" s="3">
        <f>+S11+T10</f>
        <v>144749.25511628538</v>
      </c>
      <c r="U11" s="3">
        <f t="shared" si="9"/>
        <v>43424.776534885612</v>
      </c>
      <c r="AB11" s="28" t="s">
        <v>52</v>
      </c>
      <c r="AC11" s="29"/>
      <c r="AD11" s="29"/>
      <c r="AE11" s="29"/>
      <c r="AF11" s="29"/>
      <c r="AG11" s="30"/>
    </row>
    <row r="12" spans="1:35" ht="16.5" thickBot="1" x14ac:dyDescent="0.3">
      <c r="A12" s="10" t="s">
        <v>9</v>
      </c>
      <c r="E12" s="16">
        <f t="shared" si="2"/>
        <v>9</v>
      </c>
      <c r="F12" s="9">
        <f t="shared" si="12"/>
        <v>4079813.6169410944</v>
      </c>
      <c r="G12" s="9">
        <f t="shared" si="13"/>
        <v>-100000</v>
      </c>
      <c r="H12" s="9">
        <f t="shared" si="14"/>
        <v>39798.136169410944</v>
      </c>
      <c r="I12" s="9">
        <f t="shared" si="15"/>
        <v>4019611.7531105052</v>
      </c>
      <c r="M12" s="16">
        <f t="shared" si="3"/>
        <v>9</v>
      </c>
      <c r="N12" s="3">
        <f t="shared" si="0"/>
        <v>39798.136169410944</v>
      </c>
      <c r="O12" s="3">
        <f t="shared" si="10"/>
        <v>75674.314650477114</v>
      </c>
      <c r="P12" s="19">
        <f t="shared" si="1"/>
        <v>115472.45081988806</v>
      </c>
      <c r="Q12" s="3">
        <f t="shared" si="4"/>
        <v>100000</v>
      </c>
      <c r="S12" s="3">
        <f t="shared" si="11"/>
        <v>15472.450819888065</v>
      </c>
      <c r="T12" s="3">
        <f>+S12+T11</f>
        <v>160221.70593617344</v>
      </c>
      <c r="U12" s="3">
        <f t="shared" si="9"/>
        <v>48066.51178085203</v>
      </c>
      <c r="X12" s="1" t="s">
        <v>37</v>
      </c>
      <c r="Y12" s="3">
        <f>I15</f>
        <v>3835369.9088415066</v>
      </c>
      <c r="AB12" s="28" t="s">
        <v>53</v>
      </c>
      <c r="AC12" s="43">
        <f>+AC26</f>
        <v>-300900.84168558178</v>
      </c>
      <c r="AD12" s="43">
        <f>+AD26</f>
        <v>-274073.96271867154</v>
      </c>
      <c r="AE12" s="43">
        <f>+AE26</f>
        <v>-243844.76401843622</v>
      </c>
      <c r="AF12" s="43">
        <f>+AF26</f>
        <v>-209781.74628217812</v>
      </c>
      <c r="AG12" s="44">
        <f>+AG26</f>
        <v>-171398.68529513341</v>
      </c>
    </row>
    <row r="13" spans="1:35" ht="16.5" thickBot="1" x14ac:dyDescent="0.3">
      <c r="A13" s="10"/>
      <c r="B13" s="11" t="s">
        <v>12</v>
      </c>
      <c r="C13" s="11" t="s">
        <v>13</v>
      </c>
      <c r="E13" s="16">
        <f t="shared" si="2"/>
        <v>10</v>
      </c>
      <c r="F13" s="9">
        <f t="shared" si="12"/>
        <v>4019611.7531105052</v>
      </c>
      <c r="G13" s="9">
        <f t="shared" si="13"/>
        <v>-100000</v>
      </c>
      <c r="H13" s="9">
        <f t="shared" si="14"/>
        <v>39196.117531105054</v>
      </c>
      <c r="I13" s="9">
        <f t="shared" si="15"/>
        <v>3958807.8706416101</v>
      </c>
      <c r="M13" s="16">
        <f t="shared" si="3"/>
        <v>10</v>
      </c>
      <c r="N13" s="3">
        <f t="shared" si="0"/>
        <v>39196.117531105054</v>
      </c>
      <c r="O13" s="3">
        <f t="shared" si="10"/>
        <v>75674.314650477114</v>
      </c>
      <c r="P13" s="19">
        <f t="shared" si="1"/>
        <v>114870.43218158217</v>
      </c>
      <c r="Q13" s="3">
        <f t="shared" si="4"/>
        <v>100000</v>
      </c>
      <c r="S13" s="3">
        <f t="shared" si="11"/>
        <v>14870.432181582175</v>
      </c>
      <c r="T13" s="3">
        <f>+S13+T12</f>
        <v>175092.13811775562</v>
      </c>
      <c r="U13" s="3">
        <f t="shared" si="9"/>
        <v>52527.641435326681</v>
      </c>
      <c r="X13" s="1" t="s">
        <v>38</v>
      </c>
      <c r="Y13" s="3">
        <f>B14-B19*12</f>
        <v>3632367.1032229015</v>
      </c>
      <c r="AB13" s="50" t="s">
        <v>54</v>
      </c>
      <c r="AC13" s="51">
        <f>+V15</f>
        <v>60900.841685581865</v>
      </c>
      <c r="AD13" s="51">
        <f>+V27-AC13</f>
        <v>34073.962718671581</v>
      </c>
      <c r="AE13" s="51">
        <f>+V39-AC13-AD13</f>
        <v>3844.7640184361808</v>
      </c>
      <c r="AF13" s="51">
        <f>+V51-AC13-AD13-AE13</f>
        <v>-30218.253717821834</v>
      </c>
      <c r="AG13" s="52">
        <f>+V63-AC13-AD13-AE13-AF13</f>
        <v>-68601.314704866614</v>
      </c>
      <c r="AI13" s="53">
        <f>SUM(AC13:AG13)</f>
        <v>1.178705133497715E-9</v>
      </c>
    </row>
    <row r="14" spans="1:35" ht="16.5" thickBot="1" x14ac:dyDescent="0.3">
      <c r="A14" s="8" t="s">
        <v>10</v>
      </c>
      <c r="B14" s="9">
        <f>+B10</f>
        <v>4540458.8790286267</v>
      </c>
      <c r="C14" s="8"/>
      <c r="E14" s="16">
        <f t="shared" si="2"/>
        <v>11</v>
      </c>
      <c r="F14" s="9">
        <f t="shared" si="12"/>
        <v>3958807.8706416101</v>
      </c>
      <c r="G14" s="9">
        <f t="shared" si="13"/>
        <v>-100000</v>
      </c>
      <c r="H14" s="9">
        <f t="shared" si="14"/>
        <v>38588.078706416105</v>
      </c>
      <c r="I14" s="9">
        <f t="shared" si="15"/>
        <v>3897395.9493480264</v>
      </c>
      <c r="M14" s="16">
        <f t="shared" si="3"/>
        <v>11</v>
      </c>
      <c r="N14" s="3">
        <f t="shared" si="0"/>
        <v>38588.078706416105</v>
      </c>
      <c r="O14" s="3">
        <f t="shared" si="10"/>
        <v>75674.314650477114</v>
      </c>
      <c r="P14" s="19">
        <f t="shared" si="1"/>
        <v>114262.39335689321</v>
      </c>
      <c r="Q14" s="3">
        <f t="shared" si="4"/>
        <v>100000</v>
      </c>
      <c r="S14" s="3">
        <f t="shared" si="11"/>
        <v>14262.393356893212</v>
      </c>
      <c r="T14" s="3">
        <f>+S14+T13</f>
        <v>189354.53147464883</v>
      </c>
      <c r="U14" s="3">
        <f t="shared" si="9"/>
        <v>56806.359442394649</v>
      </c>
      <c r="X14" s="1" t="s">
        <v>39</v>
      </c>
      <c r="Y14" s="3">
        <f>+Y12-Y13</f>
        <v>203002.80561860511</v>
      </c>
      <c r="AB14" s="31" t="s">
        <v>55</v>
      </c>
      <c r="AC14" s="32">
        <f>SUM(AC10:AC13)</f>
        <v>560000.00000000012</v>
      </c>
      <c r="AD14" s="32">
        <f t="shared" ref="AD14:AG14" si="16">SUM(AD10:AD13)</f>
        <v>560000</v>
      </c>
      <c r="AE14" s="32">
        <f t="shared" si="16"/>
        <v>560000</v>
      </c>
      <c r="AF14" s="32">
        <f t="shared" si="16"/>
        <v>560000.00000000012</v>
      </c>
      <c r="AG14" s="33">
        <f t="shared" si="16"/>
        <v>560000</v>
      </c>
    </row>
    <row r="15" spans="1:35" x14ac:dyDescent="0.25">
      <c r="A15" s="8" t="s">
        <v>11</v>
      </c>
      <c r="B15" s="9"/>
      <c r="C15" s="9">
        <f>+B14</f>
        <v>4540458.8790286267</v>
      </c>
      <c r="E15" s="16">
        <f t="shared" si="2"/>
        <v>12</v>
      </c>
      <c r="F15" s="9">
        <f t="shared" si="12"/>
        <v>3897395.9493480264</v>
      </c>
      <c r="G15" s="9">
        <f t="shared" si="13"/>
        <v>-100000</v>
      </c>
      <c r="H15" s="9">
        <f t="shared" si="14"/>
        <v>37973.959493480266</v>
      </c>
      <c r="I15" s="9">
        <f t="shared" si="15"/>
        <v>3835369.9088415066</v>
      </c>
      <c r="M15" s="16">
        <f t="shared" si="3"/>
        <v>12</v>
      </c>
      <c r="N15" s="3">
        <f t="shared" si="0"/>
        <v>37973.959493480266</v>
      </c>
      <c r="O15" s="3">
        <f t="shared" si="10"/>
        <v>75674.314650477114</v>
      </c>
      <c r="P15" s="19">
        <f t="shared" si="1"/>
        <v>113648.27414395739</v>
      </c>
      <c r="Q15" s="19">
        <f t="shared" si="4"/>
        <v>100000</v>
      </c>
      <c r="R15" s="20"/>
      <c r="S15" s="19">
        <f t="shared" si="11"/>
        <v>13648.274143957387</v>
      </c>
      <c r="T15" s="19">
        <f t="shared" ref="T15:T63" si="17">+S15+T14</f>
        <v>203002.80561860622</v>
      </c>
      <c r="U15" s="19">
        <f t="shared" si="9"/>
        <v>60900.841685581865</v>
      </c>
      <c r="V15" s="22">
        <f>+U15</f>
        <v>60900.841685581865</v>
      </c>
      <c r="X15" s="21" t="s">
        <v>40</v>
      </c>
      <c r="Y15" s="22">
        <f>+Y14*V2</f>
        <v>60900.84168558153</v>
      </c>
      <c r="AC15" s="46">
        <f>+AC14/AC10</f>
        <v>0.70000000000000018</v>
      </c>
      <c r="AD15" s="46">
        <f>+AD14/AD10</f>
        <v>0.7</v>
      </c>
      <c r="AE15" s="46">
        <f>+AE14/AE10</f>
        <v>0.7</v>
      </c>
      <c r="AF15" s="46">
        <f>+AF14/AF10</f>
        <v>0.70000000000000018</v>
      </c>
      <c r="AG15" s="46">
        <f>+AG14/AG10</f>
        <v>0.7</v>
      </c>
    </row>
    <row r="16" spans="1:35" x14ac:dyDescent="0.25">
      <c r="E16" s="16">
        <f t="shared" si="2"/>
        <v>13</v>
      </c>
      <c r="F16" s="9">
        <f t="shared" si="12"/>
        <v>3835369.9088415066</v>
      </c>
      <c r="G16" s="9">
        <f t="shared" si="13"/>
        <v>-100000</v>
      </c>
      <c r="H16" s="9">
        <f t="shared" si="14"/>
        <v>37353.699088415065</v>
      </c>
      <c r="I16" s="9">
        <f t="shared" si="15"/>
        <v>3772723.6079299217</v>
      </c>
      <c r="M16" s="16">
        <f t="shared" si="3"/>
        <v>13</v>
      </c>
      <c r="N16" s="3">
        <f t="shared" si="0"/>
        <v>37353.699088415065</v>
      </c>
      <c r="O16" s="3">
        <f t="shared" si="10"/>
        <v>75674.314650477114</v>
      </c>
      <c r="P16" s="19">
        <f t="shared" si="1"/>
        <v>113028.01373889219</v>
      </c>
      <c r="Q16" s="3">
        <f t="shared" si="4"/>
        <v>100000</v>
      </c>
      <c r="S16" s="3">
        <f t="shared" si="11"/>
        <v>13028.013738892187</v>
      </c>
      <c r="T16" s="3">
        <f t="shared" si="17"/>
        <v>216030.8193574984</v>
      </c>
      <c r="U16" s="3">
        <f t="shared" si="9"/>
        <v>64809.245807249521</v>
      </c>
    </row>
    <row r="17" spans="1:33" x14ac:dyDescent="0.25">
      <c r="A17" s="10" t="s">
        <v>14</v>
      </c>
      <c r="E17" s="16">
        <f t="shared" si="2"/>
        <v>14</v>
      </c>
      <c r="F17" s="9">
        <f t="shared" si="12"/>
        <v>3772723.6079299217</v>
      </c>
      <c r="G17" s="9">
        <f t="shared" si="13"/>
        <v>-100000</v>
      </c>
      <c r="H17" s="9">
        <f t="shared" si="14"/>
        <v>36727.236079299219</v>
      </c>
      <c r="I17" s="9">
        <f t="shared" si="15"/>
        <v>3709450.8440092211</v>
      </c>
      <c r="M17" s="16">
        <f t="shared" si="3"/>
        <v>14</v>
      </c>
      <c r="N17" s="3">
        <f t="shared" si="0"/>
        <v>36727.236079299219</v>
      </c>
      <c r="O17" s="3">
        <f t="shared" si="10"/>
        <v>75674.314650477114</v>
      </c>
      <c r="P17" s="19">
        <f t="shared" si="1"/>
        <v>112401.55072977633</v>
      </c>
      <c r="Q17" s="3">
        <f t="shared" si="4"/>
        <v>100000</v>
      </c>
      <c r="S17" s="3">
        <f t="shared" si="11"/>
        <v>12401.550729776325</v>
      </c>
      <c r="T17" s="3">
        <f t="shared" si="17"/>
        <v>228432.37008727473</v>
      </c>
      <c r="U17" s="3">
        <f t="shared" si="9"/>
        <v>68529.711026182413</v>
      </c>
      <c r="AB17" s="47" t="s">
        <v>63</v>
      </c>
      <c r="AC17" s="48">
        <f>+AC12+AC13</f>
        <v>-239999.99999999991</v>
      </c>
      <c r="AD17" s="48">
        <f t="shared" ref="AD17:AG17" si="18">+AD12+AD13</f>
        <v>-239999.99999999994</v>
      </c>
      <c r="AE17" s="48">
        <f t="shared" si="18"/>
        <v>-240000.00000000006</v>
      </c>
      <c r="AF17" s="48">
        <f t="shared" si="18"/>
        <v>-239999.99999999994</v>
      </c>
      <c r="AG17" s="48">
        <f t="shared" si="18"/>
        <v>-240000.00000000003</v>
      </c>
    </row>
    <row r="18" spans="1:33" x14ac:dyDescent="0.25">
      <c r="A18" s="10"/>
      <c r="B18" s="11" t="s">
        <v>12</v>
      </c>
      <c r="C18" s="11" t="s">
        <v>13</v>
      </c>
      <c r="E18" s="16">
        <f t="shared" si="2"/>
        <v>15</v>
      </c>
      <c r="F18" s="9">
        <f t="shared" si="12"/>
        <v>3709450.8440092211</v>
      </c>
      <c r="G18" s="9">
        <f t="shared" si="13"/>
        <v>-100000</v>
      </c>
      <c r="H18" s="9">
        <f t="shared" si="14"/>
        <v>36094.508440092213</v>
      </c>
      <c r="I18" s="9">
        <f t="shared" si="15"/>
        <v>3645545.3524493133</v>
      </c>
      <c r="M18" s="16">
        <f t="shared" si="3"/>
        <v>15</v>
      </c>
      <c r="N18" s="3">
        <f t="shared" si="0"/>
        <v>36094.508440092213</v>
      </c>
      <c r="O18" s="3">
        <f t="shared" si="10"/>
        <v>75674.314650477114</v>
      </c>
      <c r="P18" s="19">
        <f t="shared" si="1"/>
        <v>111768.82309056932</v>
      </c>
      <c r="Q18" s="3">
        <f t="shared" si="4"/>
        <v>100000</v>
      </c>
      <c r="S18" s="3">
        <f t="shared" si="11"/>
        <v>11768.82309056932</v>
      </c>
      <c r="T18" s="3">
        <f t="shared" si="17"/>
        <v>240201.19317784405</v>
      </c>
      <c r="U18" s="3">
        <f t="shared" si="9"/>
        <v>72060.357953353217</v>
      </c>
    </row>
    <row r="19" spans="1:33" ht="16.5" thickBot="1" x14ac:dyDescent="0.3">
      <c r="A19" s="8" t="s">
        <v>15</v>
      </c>
      <c r="B19" s="9">
        <f>+B14/B5</f>
        <v>75674.314650477114</v>
      </c>
      <c r="C19" s="8"/>
      <c r="E19" s="16">
        <f t="shared" si="2"/>
        <v>16</v>
      </c>
      <c r="F19" s="9">
        <f t="shared" si="12"/>
        <v>3645545.3524493133</v>
      </c>
      <c r="G19" s="9">
        <f t="shared" si="13"/>
        <v>-100000</v>
      </c>
      <c r="H19" s="9">
        <f t="shared" si="14"/>
        <v>35455.453524493132</v>
      </c>
      <c r="I19" s="9">
        <f t="shared" si="15"/>
        <v>3581000.8059738064</v>
      </c>
      <c r="M19" s="16">
        <f t="shared" si="3"/>
        <v>16</v>
      </c>
      <c r="N19" s="3">
        <f t="shared" si="0"/>
        <v>35455.453524493132</v>
      </c>
      <c r="O19" s="3">
        <f t="shared" si="10"/>
        <v>75674.314650477114</v>
      </c>
      <c r="P19" s="19">
        <f t="shared" si="1"/>
        <v>111129.76817497025</v>
      </c>
      <c r="Q19" s="3">
        <f t="shared" si="4"/>
        <v>100000</v>
      </c>
      <c r="S19" s="3">
        <f t="shared" si="11"/>
        <v>11129.768174970246</v>
      </c>
      <c r="T19" s="3">
        <f t="shared" si="17"/>
        <v>251330.96135281428</v>
      </c>
      <c r="U19" s="3">
        <f t="shared" si="9"/>
        <v>75399.288405844287</v>
      </c>
      <c r="AB19" s="1" t="s">
        <v>56</v>
      </c>
    </row>
    <row r="20" spans="1:33" x14ac:dyDescent="0.25">
      <c r="A20" s="8" t="s">
        <v>10</v>
      </c>
      <c r="B20" s="9"/>
      <c r="C20" s="9">
        <f>+B19</f>
        <v>75674.314650477114</v>
      </c>
      <c r="D20" s="1" t="s">
        <v>16</v>
      </c>
      <c r="E20" s="16">
        <f t="shared" si="2"/>
        <v>17</v>
      </c>
      <c r="F20" s="9">
        <f t="shared" si="12"/>
        <v>3581000.8059738064</v>
      </c>
      <c r="G20" s="9">
        <f t="shared" si="13"/>
        <v>-100000</v>
      </c>
      <c r="H20" s="9">
        <f t="shared" si="14"/>
        <v>34810.008059738066</v>
      </c>
      <c r="I20" s="9">
        <f t="shared" si="15"/>
        <v>3515810.8140335446</v>
      </c>
      <c r="M20" s="16">
        <f t="shared" si="3"/>
        <v>17</v>
      </c>
      <c r="N20" s="3">
        <f t="shared" si="0"/>
        <v>34810.008059738066</v>
      </c>
      <c r="O20" s="3">
        <f t="shared" si="10"/>
        <v>75674.314650477114</v>
      </c>
      <c r="P20" s="19">
        <f t="shared" si="1"/>
        <v>110484.32271021517</v>
      </c>
      <c r="Q20" s="3">
        <f t="shared" si="4"/>
        <v>100000</v>
      </c>
      <c r="S20" s="3">
        <f t="shared" si="11"/>
        <v>10484.322710215172</v>
      </c>
      <c r="T20" s="3">
        <f t="shared" si="17"/>
        <v>261815.28406302945</v>
      </c>
      <c r="U20" s="3">
        <f t="shared" si="9"/>
        <v>78544.585218908833</v>
      </c>
      <c r="AB20" s="41" t="s">
        <v>57</v>
      </c>
      <c r="AC20" s="34"/>
      <c r="AD20" s="34"/>
      <c r="AE20" s="34"/>
      <c r="AF20" s="34"/>
      <c r="AG20" s="35"/>
    </row>
    <row r="21" spans="1:33" x14ac:dyDescent="0.25">
      <c r="E21" s="16">
        <f t="shared" si="2"/>
        <v>18</v>
      </c>
      <c r="F21" s="9">
        <f t="shared" si="12"/>
        <v>3515810.8140335446</v>
      </c>
      <c r="G21" s="9">
        <f t="shared" si="13"/>
        <v>-100000</v>
      </c>
      <c r="H21" s="9">
        <f t="shared" si="14"/>
        <v>34158.108140335447</v>
      </c>
      <c r="I21" s="9">
        <f t="shared" si="15"/>
        <v>3449968.92217388</v>
      </c>
      <c r="M21" s="16">
        <f t="shared" si="3"/>
        <v>18</v>
      </c>
      <c r="N21" s="3">
        <f t="shared" si="0"/>
        <v>34158.108140335447</v>
      </c>
      <c r="O21" s="3">
        <f t="shared" si="10"/>
        <v>75674.314650477114</v>
      </c>
      <c r="P21" s="19">
        <f t="shared" si="1"/>
        <v>109832.42279081256</v>
      </c>
      <c r="Q21" s="3">
        <f t="shared" si="4"/>
        <v>100000</v>
      </c>
      <c r="S21" s="3">
        <f t="shared" si="11"/>
        <v>9832.4227908125613</v>
      </c>
      <c r="T21" s="3">
        <f t="shared" si="17"/>
        <v>271647.70685384201</v>
      </c>
      <c r="U21" s="3">
        <f t="shared" si="9"/>
        <v>81494.312056152601</v>
      </c>
      <c r="AB21" s="39" t="s">
        <v>58</v>
      </c>
      <c r="AC21" s="40">
        <f>+AC10</f>
        <v>800000</v>
      </c>
      <c r="AD21" s="40">
        <f>+AD10</f>
        <v>800000</v>
      </c>
      <c r="AE21" s="40">
        <f>+AE10</f>
        <v>800000</v>
      </c>
      <c r="AF21" s="40">
        <f>+AF10</f>
        <v>800000</v>
      </c>
      <c r="AG21" s="40">
        <f>+AG10</f>
        <v>800000</v>
      </c>
    </row>
    <row r="22" spans="1:33" x14ac:dyDescent="0.25">
      <c r="A22" s="10" t="s">
        <v>17</v>
      </c>
      <c r="E22" s="16">
        <f t="shared" si="2"/>
        <v>19</v>
      </c>
      <c r="F22" s="9">
        <f t="shared" si="12"/>
        <v>3449968.92217388</v>
      </c>
      <c r="G22" s="9">
        <f t="shared" si="13"/>
        <v>-100000</v>
      </c>
      <c r="H22" s="9">
        <f t="shared" si="14"/>
        <v>33499.689221738801</v>
      </c>
      <c r="I22" s="9">
        <f t="shared" si="15"/>
        <v>3383468.6113956189</v>
      </c>
      <c r="M22" s="16">
        <f t="shared" si="3"/>
        <v>19</v>
      </c>
      <c r="N22" s="3">
        <f t="shared" si="0"/>
        <v>33499.689221738801</v>
      </c>
      <c r="O22" s="3">
        <f t="shared" si="10"/>
        <v>75674.314650477114</v>
      </c>
      <c r="P22" s="19">
        <f t="shared" si="1"/>
        <v>109174.00387221592</v>
      </c>
      <c r="Q22" s="3">
        <f t="shared" si="4"/>
        <v>100000</v>
      </c>
      <c r="S22" s="3">
        <f t="shared" si="11"/>
        <v>9174.0038722159225</v>
      </c>
      <c r="T22" s="3">
        <f t="shared" si="17"/>
        <v>280821.71072605794</v>
      </c>
      <c r="U22" s="3">
        <f t="shared" si="9"/>
        <v>84246.513217817381</v>
      </c>
      <c r="AB22" s="36" t="s">
        <v>60</v>
      </c>
      <c r="AC22" s="3">
        <f>SUM(N4:N15)</f>
        <v>494911.02981288091</v>
      </c>
      <c r="AD22" s="3">
        <f>SUM(N16:N27)</f>
        <v>405488.09992317989</v>
      </c>
      <c r="AE22" s="3">
        <f>SUM(N28:N39)</f>
        <v>304724.1042557286</v>
      </c>
      <c r="AF22" s="3">
        <f>SUM(N40:N51)</f>
        <v>191180.71180153513</v>
      </c>
      <c r="AG22" s="3">
        <f>SUM(N52:N63)</f>
        <v>63237.175178052581</v>
      </c>
    </row>
    <row r="23" spans="1:33" x14ac:dyDescent="0.25">
      <c r="A23" s="10"/>
      <c r="B23" s="11" t="s">
        <v>12</v>
      </c>
      <c r="C23" s="11" t="s">
        <v>13</v>
      </c>
      <c r="E23" s="16">
        <f t="shared" si="2"/>
        <v>20</v>
      </c>
      <c r="F23" s="9">
        <f t="shared" si="12"/>
        <v>3383468.6113956189</v>
      </c>
      <c r="G23" s="9">
        <f t="shared" si="13"/>
        <v>-100000</v>
      </c>
      <c r="H23" s="9">
        <f t="shared" si="14"/>
        <v>32834.686113956188</v>
      </c>
      <c r="I23" s="9">
        <f t="shared" si="15"/>
        <v>3316303.2975095753</v>
      </c>
      <c r="M23" s="16">
        <f t="shared" si="3"/>
        <v>20</v>
      </c>
      <c r="N23" s="3">
        <f t="shared" si="0"/>
        <v>32834.686113956188</v>
      </c>
      <c r="O23" s="3">
        <f t="shared" si="10"/>
        <v>75674.314650477114</v>
      </c>
      <c r="P23" s="19">
        <f t="shared" si="1"/>
        <v>108509.00076443329</v>
      </c>
      <c r="Q23" s="3">
        <f t="shared" si="4"/>
        <v>100000</v>
      </c>
      <c r="S23" s="3">
        <f t="shared" si="11"/>
        <v>8509.0007644332945</v>
      </c>
      <c r="T23" s="3">
        <f t="shared" si="17"/>
        <v>289330.71149049123</v>
      </c>
      <c r="U23" s="3">
        <f t="shared" si="9"/>
        <v>86799.213447147369</v>
      </c>
      <c r="AB23" s="36" t="s">
        <v>61</v>
      </c>
      <c r="AC23" s="3">
        <f>+B19*12</f>
        <v>908091.77580572537</v>
      </c>
      <c r="AD23" s="3">
        <f>+AC23</f>
        <v>908091.77580572537</v>
      </c>
      <c r="AE23" s="3">
        <f t="shared" ref="AE23:AG23" si="19">+AD23</f>
        <v>908091.77580572537</v>
      </c>
      <c r="AF23" s="3">
        <f t="shared" si="19"/>
        <v>908091.77580572537</v>
      </c>
      <c r="AG23" s="3">
        <f t="shared" si="19"/>
        <v>908091.77580572537</v>
      </c>
    </row>
    <row r="24" spans="1:33" x14ac:dyDescent="0.25">
      <c r="A24" s="8" t="s">
        <v>22</v>
      </c>
      <c r="B24" s="9">
        <f>+H4</f>
        <v>44404.588790286267</v>
      </c>
      <c r="C24" s="8"/>
      <c r="E24" s="16">
        <f t="shared" si="2"/>
        <v>21</v>
      </c>
      <c r="F24" s="9">
        <f t="shared" si="12"/>
        <v>3316303.2975095753</v>
      </c>
      <c r="G24" s="9">
        <f t="shared" si="13"/>
        <v>-100000</v>
      </c>
      <c r="H24" s="9">
        <f t="shared" si="14"/>
        <v>32163.032975095753</v>
      </c>
      <c r="I24" s="9">
        <f t="shared" si="15"/>
        <v>3248466.3304846711</v>
      </c>
      <c r="M24" s="16">
        <f t="shared" si="3"/>
        <v>21</v>
      </c>
      <c r="N24" s="3">
        <f t="shared" si="0"/>
        <v>32163.032975095753</v>
      </c>
      <c r="O24" s="3">
        <f t="shared" si="10"/>
        <v>75674.314650477114</v>
      </c>
      <c r="P24" s="19">
        <f t="shared" si="1"/>
        <v>107837.34762557287</v>
      </c>
      <c r="Q24" s="3">
        <f t="shared" si="4"/>
        <v>100000</v>
      </c>
      <c r="S24" s="3">
        <f t="shared" si="11"/>
        <v>7837.3476255728747</v>
      </c>
      <c r="T24" s="3">
        <f t="shared" si="17"/>
        <v>297168.05911606411</v>
      </c>
      <c r="U24" s="3">
        <f t="shared" si="9"/>
        <v>89150.417734819232</v>
      </c>
      <c r="X24" s="1" t="s">
        <v>37</v>
      </c>
      <c r="Y24" s="3">
        <f>+I27</f>
        <v>3040858.008764687</v>
      </c>
      <c r="AB24" s="36" t="s">
        <v>19</v>
      </c>
      <c r="AC24" s="3">
        <f>-100000*12</f>
        <v>-1200000</v>
      </c>
      <c r="AD24" s="3">
        <f t="shared" ref="AD24:AG24" si="20">-100000*12</f>
        <v>-1200000</v>
      </c>
      <c r="AE24" s="3">
        <f t="shared" si="20"/>
        <v>-1200000</v>
      </c>
      <c r="AF24" s="3">
        <f t="shared" si="20"/>
        <v>-1200000</v>
      </c>
      <c r="AG24" s="3">
        <f t="shared" si="20"/>
        <v>-1200000</v>
      </c>
    </row>
    <row r="25" spans="1:33" ht="16.5" thickBot="1" x14ac:dyDescent="0.3">
      <c r="A25" s="8" t="s">
        <v>11</v>
      </c>
      <c r="B25" s="9"/>
      <c r="C25" s="9">
        <f>+B24</f>
        <v>44404.588790286267</v>
      </c>
      <c r="E25" s="16">
        <f t="shared" si="2"/>
        <v>22</v>
      </c>
      <c r="F25" s="9">
        <f t="shared" si="12"/>
        <v>3248466.3304846711</v>
      </c>
      <c r="G25" s="9">
        <f t="shared" si="13"/>
        <v>-100000</v>
      </c>
      <c r="H25" s="9">
        <f t="shared" si="14"/>
        <v>31484.663304846712</v>
      </c>
      <c r="I25" s="9">
        <f t="shared" si="15"/>
        <v>3179950.9937895178</v>
      </c>
      <c r="M25" s="16">
        <f t="shared" si="3"/>
        <v>22</v>
      </c>
      <c r="N25" s="3">
        <f t="shared" si="0"/>
        <v>31484.663304846712</v>
      </c>
      <c r="O25" s="3">
        <f t="shared" si="10"/>
        <v>75674.314650477114</v>
      </c>
      <c r="P25" s="19">
        <f t="shared" si="1"/>
        <v>107158.97795532382</v>
      </c>
      <c r="Q25" s="3">
        <f t="shared" si="4"/>
        <v>100000</v>
      </c>
      <c r="S25" s="3">
        <f t="shared" si="11"/>
        <v>7158.9779553238186</v>
      </c>
      <c r="T25" s="3">
        <f t="shared" si="17"/>
        <v>304327.03707138792</v>
      </c>
      <c r="U25" s="3">
        <f t="shared" si="9"/>
        <v>91298.111121416368</v>
      </c>
      <c r="X25" s="1" t="s">
        <v>38</v>
      </c>
      <c r="Y25" s="3">
        <f>+Y13-B19*12</f>
        <v>2724275.3274171762</v>
      </c>
      <c r="AB25" s="37" t="s">
        <v>59</v>
      </c>
      <c r="AC25" s="38">
        <f>SUM(AC21:AC24)</f>
        <v>1003002.805618606</v>
      </c>
      <c r="AD25" s="38">
        <f t="shared" ref="AD25:AG25" si="21">SUM(AD21:AD24)</f>
        <v>913579.8757289052</v>
      </c>
      <c r="AE25" s="38">
        <f t="shared" si="21"/>
        <v>812815.88006145414</v>
      </c>
      <c r="AF25" s="38">
        <f t="shared" si="21"/>
        <v>699272.48760726047</v>
      </c>
      <c r="AG25" s="38">
        <f t="shared" si="21"/>
        <v>571328.95098377811</v>
      </c>
    </row>
    <row r="26" spans="1:33" x14ac:dyDescent="0.25">
      <c r="E26" s="16">
        <f t="shared" si="2"/>
        <v>23</v>
      </c>
      <c r="F26" s="9">
        <f t="shared" si="12"/>
        <v>3179950.9937895178</v>
      </c>
      <c r="G26" s="9">
        <f t="shared" si="13"/>
        <v>-100000</v>
      </c>
      <c r="H26" s="9">
        <f t="shared" si="14"/>
        <v>30799.509937895178</v>
      </c>
      <c r="I26" s="9">
        <f t="shared" si="15"/>
        <v>3110750.5037274128</v>
      </c>
      <c r="M26" s="16">
        <f t="shared" si="3"/>
        <v>23</v>
      </c>
      <c r="N26" s="3">
        <f t="shared" si="0"/>
        <v>30799.509937895178</v>
      </c>
      <c r="O26" s="3">
        <f t="shared" si="10"/>
        <v>75674.314650477114</v>
      </c>
      <c r="P26" s="19">
        <f t="shared" si="1"/>
        <v>106473.82458837228</v>
      </c>
      <c r="Q26" s="3">
        <f t="shared" si="4"/>
        <v>100000</v>
      </c>
      <c r="S26" s="3">
        <f t="shared" si="11"/>
        <v>6473.8245883722848</v>
      </c>
      <c r="T26" s="3">
        <f t="shared" si="17"/>
        <v>310800.86165976024</v>
      </c>
      <c r="U26" s="3">
        <f t="shared" si="9"/>
        <v>93240.258497928065</v>
      </c>
      <c r="X26" s="1" t="s">
        <v>39</v>
      </c>
      <c r="Y26" s="3">
        <f>+Y24-Y25</f>
        <v>316582.68134751078</v>
      </c>
      <c r="AB26" s="1" t="s">
        <v>62</v>
      </c>
      <c r="AC26" s="42">
        <f>-AC25*$AB$27</f>
        <v>-300900.84168558178</v>
      </c>
      <c r="AD26" s="42">
        <f>-AD25*$AB$27</f>
        <v>-274073.96271867154</v>
      </c>
      <c r="AE26" s="42">
        <f>-AE25*$AB$27</f>
        <v>-243844.76401843622</v>
      </c>
      <c r="AF26" s="42">
        <f>-AF25*$AB$27</f>
        <v>-209781.74628217812</v>
      </c>
      <c r="AG26" s="42">
        <f>-AG25*$AB$27</f>
        <v>-171398.68529513341</v>
      </c>
    </row>
    <row r="27" spans="1:33" x14ac:dyDescent="0.25">
      <c r="A27" s="10"/>
      <c r="B27" s="11" t="s">
        <v>12</v>
      </c>
      <c r="C27" s="11" t="s">
        <v>13</v>
      </c>
      <c r="E27" s="16">
        <f t="shared" si="2"/>
        <v>24</v>
      </c>
      <c r="F27" s="9">
        <f t="shared" si="12"/>
        <v>3110750.5037274128</v>
      </c>
      <c r="G27" s="9">
        <f t="shared" si="13"/>
        <v>-100000</v>
      </c>
      <c r="H27" s="9">
        <f t="shared" si="14"/>
        <v>30107.505037274128</v>
      </c>
      <c r="I27" s="9">
        <f t="shared" si="15"/>
        <v>3040858.008764687</v>
      </c>
      <c r="M27" s="16">
        <f t="shared" si="3"/>
        <v>24</v>
      </c>
      <c r="N27" s="3">
        <f t="shared" si="0"/>
        <v>30107.505037274128</v>
      </c>
      <c r="O27" s="3">
        <f t="shared" si="10"/>
        <v>75674.314650477114</v>
      </c>
      <c r="P27" s="19">
        <f t="shared" si="1"/>
        <v>105781.81968775124</v>
      </c>
      <c r="Q27" s="19">
        <f t="shared" si="4"/>
        <v>100000</v>
      </c>
      <c r="R27" s="20"/>
      <c r="S27" s="19">
        <f t="shared" si="11"/>
        <v>5781.8196877512382</v>
      </c>
      <c r="T27" s="19">
        <f t="shared" si="17"/>
        <v>316582.68134751148</v>
      </c>
      <c r="U27" s="19">
        <f t="shared" si="9"/>
        <v>94974.804404253446</v>
      </c>
      <c r="V27" s="22">
        <f>+U27</f>
        <v>94974.804404253446</v>
      </c>
      <c r="X27" s="21" t="s">
        <v>40</v>
      </c>
      <c r="Y27" s="22">
        <f>+Y26*$V$2</f>
        <v>94974.804404253227</v>
      </c>
      <c r="AB27" s="45">
        <v>0.3</v>
      </c>
    </row>
    <row r="28" spans="1:33" x14ac:dyDescent="0.25">
      <c r="A28" s="8" t="s">
        <v>11</v>
      </c>
      <c r="B28" s="9">
        <f>-G4</f>
        <v>100000</v>
      </c>
      <c r="C28" s="8"/>
      <c r="E28" s="16">
        <f t="shared" si="2"/>
        <v>25</v>
      </c>
      <c r="F28" s="9">
        <f t="shared" si="12"/>
        <v>3040858.008764687</v>
      </c>
      <c r="G28" s="9">
        <f t="shared" si="13"/>
        <v>-100000</v>
      </c>
      <c r="H28" s="9">
        <f t="shared" si="14"/>
        <v>29408.580087646871</v>
      </c>
      <c r="I28" s="9">
        <f t="shared" si="15"/>
        <v>2970266.5888523338</v>
      </c>
      <c r="M28" s="16">
        <f t="shared" si="3"/>
        <v>25</v>
      </c>
      <c r="N28" s="3">
        <f t="shared" si="0"/>
        <v>29408.580087646871</v>
      </c>
      <c r="O28" s="3">
        <f t="shared" si="10"/>
        <v>75674.314650477114</v>
      </c>
      <c r="P28" s="19">
        <f t="shared" si="1"/>
        <v>105082.89473812399</v>
      </c>
      <c r="Q28" s="3">
        <f t="shared" si="4"/>
        <v>100000</v>
      </c>
      <c r="S28" s="3">
        <f t="shared" si="11"/>
        <v>5082.894738123985</v>
      </c>
      <c r="T28" s="3">
        <f t="shared" si="17"/>
        <v>321665.57608563546</v>
      </c>
      <c r="U28" s="3">
        <f t="shared" si="9"/>
        <v>96499.672825690635</v>
      </c>
    </row>
    <row r="29" spans="1:33" x14ac:dyDescent="0.25">
      <c r="A29" s="8" t="s">
        <v>23</v>
      </c>
      <c r="B29" s="9"/>
      <c r="C29" s="9">
        <f>+B28</f>
        <v>100000</v>
      </c>
      <c r="E29" s="16">
        <f t="shared" si="2"/>
        <v>26</v>
      </c>
      <c r="F29" s="9">
        <f t="shared" si="12"/>
        <v>2970266.5888523338</v>
      </c>
      <c r="G29" s="9">
        <f t="shared" si="13"/>
        <v>-100000</v>
      </c>
      <c r="H29" s="9">
        <f t="shared" si="14"/>
        <v>28702.665888523337</v>
      </c>
      <c r="I29" s="9">
        <f t="shared" si="15"/>
        <v>2898969.2547408571</v>
      </c>
      <c r="M29" s="16">
        <f t="shared" si="3"/>
        <v>26</v>
      </c>
      <c r="N29" s="3">
        <f t="shared" si="0"/>
        <v>28702.665888523337</v>
      </c>
      <c r="O29" s="3">
        <f t="shared" si="10"/>
        <v>75674.314650477114</v>
      </c>
      <c r="P29" s="19">
        <f t="shared" si="1"/>
        <v>104376.98053900045</v>
      </c>
      <c r="Q29" s="3">
        <f t="shared" si="4"/>
        <v>100000</v>
      </c>
      <c r="S29" s="3">
        <f t="shared" si="11"/>
        <v>4376.9805390004476</v>
      </c>
      <c r="T29" s="3">
        <f t="shared" si="17"/>
        <v>326042.55662463594</v>
      </c>
      <c r="U29" s="3">
        <f t="shared" si="9"/>
        <v>97812.766987390773</v>
      </c>
    </row>
    <row r="30" spans="1:33" x14ac:dyDescent="0.25">
      <c r="E30" s="16">
        <f t="shared" si="2"/>
        <v>27</v>
      </c>
      <c r="F30" s="9">
        <f t="shared" si="12"/>
        <v>2898969.2547408571</v>
      </c>
      <c r="G30" s="9">
        <f t="shared" si="13"/>
        <v>-100000</v>
      </c>
      <c r="H30" s="9">
        <f t="shared" si="14"/>
        <v>27989.692547408573</v>
      </c>
      <c r="I30" s="9">
        <f t="shared" si="15"/>
        <v>2826958.9472882655</v>
      </c>
      <c r="M30" s="16">
        <f t="shared" si="3"/>
        <v>27</v>
      </c>
      <c r="N30" s="3">
        <f t="shared" si="0"/>
        <v>27989.692547408573</v>
      </c>
      <c r="O30" s="3">
        <f t="shared" si="10"/>
        <v>75674.314650477114</v>
      </c>
      <c r="P30" s="19">
        <f t="shared" si="1"/>
        <v>103664.00719788569</v>
      </c>
      <c r="Q30" s="3">
        <f t="shared" si="4"/>
        <v>100000</v>
      </c>
      <c r="S30" s="3">
        <f t="shared" si="11"/>
        <v>3664.0071978856868</v>
      </c>
      <c r="T30" s="3">
        <f t="shared" si="17"/>
        <v>329706.5638225216</v>
      </c>
      <c r="U30" s="3">
        <f t="shared" si="9"/>
        <v>98911.96914675647</v>
      </c>
    </row>
    <row r="31" spans="1:33" x14ac:dyDescent="0.25">
      <c r="A31" s="13" t="s">
        <v>24</v>
      </c>
      <c r="B31" s="13"/>
      <c r="C31" s="14">
        <f>+C15+C25-B28</f>
        <v>4484863.467818913</v>
      </c>
      <c r="E31" s="16">
        <f t="shared" si="2"/>
        <v>28</v>
      </c>
      <c r="F31" s="9">
        <f t="shared" ref="F31:F63" si="22">+I30</f>
        <v>2826958.9472882655</v>
      </c>
      <c r="G31" s="9">
        <f t="shared" ref="G31:G63" si="23">+G30</f>
        <v>-100000</v>
      </c>
      <c r="H31" s="9">
        <f t="shared" ref="H31:H63" si="24">(F31+G31)*$B$7</f>
        <v>27269.589472882653</v>
      </c>
      <c r="I31" s="9">
        <f t="shared" ref="I31:I63" si="25">+F31+G31+H31</f>
        <v>2754228.5367611479</v>
      </c>
      <c r="M31" s="16">
        <f t="shared" si="3"/>
        <v>28</v>
      </c>
      <c r="N31" s="3">
        <f t="shared" si="0"/>
        <v>27269.589472882653</v>
      </c>
      <c r="O31" s="3">
        <f t="shared" si="10"/>
        <v>75674.314650477114</v>
      </c>
      <c r="P31" s="19">
        <f t="shared" si="1"/>
        <v>102943.90412335977</v>
      </c>
      <c r="Q31" s="3">
        <f t="shared" si="4"/>
        <v>100000</v>
      </c>
      <c r="S31" s="3">
        <f t="shared" si="11"/>
        <v>2943.9041233597673</v>
      </c>
      <c r="T31" s="3">
        <f t="shared" si="17"/>
        <v>332650.46794588136</v>
      </c>
      <c r="U31" s="3">
        <f t="shared" si="9"/>
        <v>99795.140383764403</v>
      </c>
    </row>
    <row r="32" spans="1:33" x14ac:dyDescent="0.25">
      <c r="E32" s="16">
        <f t="shared" si="2"/>
        <v>29</v>
      </c>
      <c r="F32" s="9">
        <f t="shared" si="22"/>
        <v>2754228.5367611479</v>
      </c>
      <c r="G32" s="9">
        <f t="shared" si="23"/>
        <v>-100000</v>
      </c>
      <c r="H32" s="9">
        <f t="shared" si="24"/>
        <v>26542.285367611479</v>
      </c>
      <c r="I32" s="9">
        <f t="shared" si="25"/>
        <v>2680770.8221287592</v>
      </c>
      <c r="M32" s="16">
        <f t="shared" si="3"/>
        <v>29</v>
      </c>
      <c r="N32" s="3">
        <f t="shared" si="0"/>
        <v>26542.285367611479</v>
      </c>
      <c r="O32" s="3">
        <f t="shared" si="10"/>
        <v>75674.314650477114</v>
      </c>
      <c r="P32" s="19">
        <f t="shared" si="1"/>
        <v>102216.60001808859</v>
      </c>
      <c r="Q32" s="3">
        <f t="shared" si="4"/>
        <v>100000</v>
      </c>
      <c r="S32" s="3">
        <f t="shared" si="11"/>
        <v>2216.6000180885894</v>
      </c>
      <c r="T32" s="3">
        <f t="shared" si="17"/>
        <v>334867.06796396995</v>
      </c>
      <c r="U32" s="3">
        <f t="shared" si="9"/>
        <v>100460.12038919098</v>
      </c>
    </row>
    <row r="33" spans="5:25" x14ac:dyDescent="0.25">
      <c r="E33" s="16">
        <f t="shared" si="2"/>
        <v>30</v>
      </c>
      <c r="F33" s="9">
        <f t="shared" si="22"/>
        <v>2680770.8221287592</v>
      </c>
      <c r="G33" s="9">
        <f t="shared" si="23"/>
        <v>-100000</v>
      </c>
      <c r="H33" s="9">
        <f t="shared" si="24"/>
        <v>25807.708221287594</v>
      </c>
      <c r="I33" s="9">
        <f t="shared" si="25"/>
        <v>2606578.5303500467</v>
      </c>
      <c r="M33" s="16">
        <f t="shared" si="3"/>
        <v>30</v>
      </c>
      <c r="N33" s="3">
        <f t="shared" si="0"/>
        <v>25807.708221287594</v>
      </c>
      <c r="O33" s="3">
        <f t="shared" si="10"/>
        <v>75674.314650477114</v>
      </c>
      <c r="P33" s="19">
        <f t="shared" si="1"/>
        <v>101482.02287176471</v>
      </c>
      <c r="Q33" s="3">
        <f t="shared" si="4"/>
        <v>100000</v>
      </c>
      <c r="S33" s="3">
        <f t="shared" si="11"/>
        <v>1482.0228717647115</v>
      </c>
      <c r="T33" s="3">
        <f t="shared" si="17"/>
        <v>336349.09083573468</v>
      </c>
      <c r="U33" s="3">
        <f t="shared" si="9"/>
        <v>100904.7272507204</v>
      </c>
    </row>
    <row r="34" spans="5:25" x14ac:dyDescent="0.25">
      <c r="E34" s="16">
        <f t="shared" si="2"/>
        <v>31</v>
      </c>
      <c r="F34" s="9">
        <f t="shared" si="22"/>
        <v>2606578.5303500467</v>
      </c>
      <c r="G34" s="9">
        <f t="shared" si="23"/>
        <v>-100000</v>
      </c>
      <c r="H34" s="9">
        <f t="shared" si="24"/>
        <v>25065.785303500466</v>
      </c>
      <c r="I34" s="9">
        <f t="shared" si="25"/>
        <v>2531644.3156535472</v>
      </c>
      <c r="M34" s="16">
        <f t="shared" si="3"/>
        <v>31</v>
      </c>
      <c r="N34" s="3">
        <f t="shared" si="0"/>
        <v>25065.785303500466</v>
      </c>
      <c r="O34" s="3">
        <f t="shared" si="10"/>
        <v>75674.314650477114</v>
      </c>
      <c r="P34" s="19">
        <f t="shared" si="1"/>
        <v>100740.09995397758</v>
      </c>
      <c r="Q34" s="3">
        <f t="shared" si="4"/>
        <v>100000</v>
      </c>
      <c r="S34" s="3">
        <f t="shared" si="11"/>
        <v>740.0999539775803</v>
      </c>
      <c r="T34" s="3">
        <f t="shared" si="17"/>
        <v>337089.19078971224</v>
      </c>
      <c r="U34" s="3">
        <f t="shared" si="9"/>
        <v>101126.75723691368</v>
      </c>
    </row>
    <row r="35" spans="5:25" x14ac:dyDescent="0.25">
      <c r="E35" s="16">
        <f t="shared" si="2"/>
        <v>32</v>
      </c>
      <c r="F35" s="9">
        <f t="shared" si="22"/>
        <v>2531644.3156535472</v>
      </c>
      <c r="G35" s="9">
        <f t="shared" si="23"/>
        <v>-100000</v>
      </c>
      <c r="H35" s="9">
        <f t="shared" si="24"/>
        <v>24316.443156535472</v>
      </c>
      <c r="I35" s="9">
        <f t="shared" si="25"/>
        <v>2455960.7588100825</v>
      </c>
      <c r="M35" s="16">
        <f t="shared" si="3"/>
        <v>32</v>
      </c>
      <c r="N35" s="3">
        <f t="shared" si="0"/>
        <v>24316.443156535472</v>
      </c>
      <c r="O35" s="3">
        <f t="shared" si="10"/>
        <v>75674.314650477114</v>
      </c>
      <c r="P35" s="19">
        <f t="shared" si="1"/>
        <v>99990.757807012589</v>
      </c>
      <c r="Q35" s="3">
        <f t="shared" si="4"/>
        <v>100000</v>
      </c>
      <c r="S35" s="3">
        <f t="shared" si="11"/>
        <v>-9.2421929874108173</v>
      </c>
      <c r="T35" s="3">
        <f t="shared" si="17"/>
        <v>337079.94859672483</v>
      </c>
      <c r="U35" s="3">
        <f t="shared" si="9"/>
        <v>101123.98457901744</v>
      </c>
      <c r="X35" s="1" t="s">
        <v>41</v>
      </c>
    </row>
    <row r="36" spans="5:25" x14ac:dyDescent="0.25">
      <c r="E36" s="16">
        <f t="shared" si="2"/>
        <v>33</v>
      </c>
      <c r="F36" s="9">
        <f t="shared" si="22"/>
        <v>2455960.7588100825</v>
      </c>
      <c r="G36" s="9">
        <f t="shared" si="23"/>
        <v>-100000</v>
      </c>
      <c r="H36" s="9">
        <f t="shared" si="24"/>
        <v>23559.607588100826</v>
      </c>
      <c r="I36" s="9">
        <f t="shared" si="25"/>
        <v>2379520.3663981832</v>
      </c>
      <c r="M36" s="16">
        <f t="shared" si="3"/>
        <v>33</v>
      </c>
      <c r="N36" s="3">
        <f t="shared" si="0"/>
        <v>23559.607588100826</v>
      </c>
      <c r="O36" s="3">
        <f t="shared" si="10"/>
        <v>75674.314650477114</v>
      </c>
      <c r="P36" s="19">
        <f t="shared" si="1"/>
        <v>99233.922238577943</v>
      </c>
      <c r="Q36" s="3">
        <f t="shared" si="4"/>
        <v>100000</v>
      </c>
      <c r="S36" s="3">
        <f t="shared" si="11"/>
        <v>-766.07776142205694</v>
      </c>
      <c r="T36" s="3">
        <f t="shared" si="17"/>
        <v>336313.87083530275</v>
      </c>
      <c r="U36" s="3">
        <f t="shared" si="9"/>
        <v>100894.16125059083</v>
      </c>
      <c r="X36" s="1" t="s">
        <v>37</v>
      </c>
      <c r="Y36" s="3">
        <f>+I39</f>
        <v>2145582.1130204145</v>
      </c>
    </row>
    <row r="37" spans="5:25" x14ac:dyDescent="0.25">
      <c r="E37" s="16">
        <f t="shared" si="2"/>
        <v>34</v>
      </c>
      <c r="F37" s="9">
        <f t="shared" si="22"/>
        <v>2379520.3663981832</v>
      </c>
      <c r="G37" s="9">
        <f t="shared" si="23"/>
        <v>-100000</v>
      </c>
      <c r="H37" s="9">
        <f t="shared" si="24"/>
        <v>22795.203663981833</v>
      </c>
      <c r="I37" s="9">
        <f t="shared" si="25"/>
        <v>2302315.5700621651</v>
      </c>
      <c r="M37" s="16">
        <f t="shared" si="3"/>
        <v>34</v>
      </c>
      <c r="N37" s="3">
        <f t="shared" si="0"/>
        <v>22795.203663981833</v>
      </c>
      <c r="O37" s="3">
        <f t="shared" si="10"/>
        <v>75674.314650477114</v>
      </c>
      <c r="P37" s="19">
        <f t="shared" si="1"/>
        <v>98469.518314458954</v>
      </c>
      <c r="Q37" s="3">
        <f t="shared" si="4"/>
        <v>100000</v>
      </c>
      <c r="S37" s="3">
        <f t="shared" si="11"/>
        <v>-1530.4816855410463</v>
      </c>
      <c r="T37" s="3">
        <f t="shared" si="17"/>
        <v>334783.3891497617</v>
      </c>
      <c r="U37" s="3">
        <f t="shared" si="9"/>
        <v>100435.01674492851</v>
      </c>
      <c r="X37" s="1" t="s">
        <v>38</v>
      </c>
      <c r="Y37" s="3">
        <f>+Y25-B19*12</f>
        <v>1816183.551611451</v>
      </c>
    </row>
    <row r="38" spans="5:25" x14ac:dyDescent="0.25">
      <c r="E38" s="16">
        <f t="shared" si="2"/>
        <v>35</v>
      </c>
      <c r="F38" s="9">
        <f t="shared" si="22"/>
        <v>2302315.5700621651</v>
      </c>
      <c r="G38" s="9">
        <f t="shared" si="23"/>
        <v>-100000</v>
      </c>
      <c r="H38" s="9">
        <f t="shared" si="24"/>
        <v>22023.155700621654</v>
      </c>
      <c r="I38" s="9">
        <f t="shared" si="25"/>
        <v>2224338.7257627868</v>
      </c>
      <c r="M38" s="16">
        <f t="shared" si="3"/>
        <v>35</v>
      </c>
      <c r="N38" s="3">
        <f t="shared" si="0"/>
        <v>22023.155700621654</v>
      </c>
      <c r="O38" s="3">
        <f t="shared" si="10"/>
        <v>75674.314650477114</v>
      </c>
      <c r="P38" s="19">
        <f t="shared" si="1"/>
        <v>97697.470351098775</v>
      </c>
      <c r="Q38" s="3">
        <f t="shared" si="4"/>
        <v>100000</v>
      </c>
      <c r="S38" s="3">
        <f t="shared" si="11"/>
        <v>-2302.5296489012253</v>
      </c>
      <c r="T38" s="3">
        <f t="shared" si="17"/>
        <v>332480.85950086045</v>
      </c>
      <c r="U38" s="3">
        <f t="shared" si="9"/>
        <v>99744.257850258131</v>
      </c>
      <c r="X38" s="1" t="s">
        <v>39</v>
      </c>
      <c r="Y38" s="3">
        <f>+Y36-Y37</f>
        <v>329398.56140896352</v>
      </c>
    </row>
    <row r="39" spans="5:25" x14ac:dyDescent="0.25">
      <c r="E39" s="16">
        <f t="shared" si="2"/>
        <v>36</v>
      </c>
      <c r="F39" s="9">
        <f t="shared" si="22"/>
        <v>2224338.7257627868</v>
      </c>
      <c r="G39" s="9">
        <f t="shared" si="23"/>
        <v>-100000</v>
      </c>
      <c r="H39" s="9">
        <f t="shared" si="24"/>
        <v>21243.38725762787</v>
      </c>
      <c r="I39" s="9">
        <f t="shared" si="25"/>
        <v>2145582.1130204145</v>
      </c>
      <c r="M39" s="16">
        <f t="shared" si="3"/>
        <v>36</v>
      </c>
      <c r="N39" s="3">
        <f t="shared" si="0"/>
        <v>21243.38725762787</v>
      </c>
      <c r="O39" s="3">
        <f t="shared" si="10"/>
        <v>75674.314650477114</v>
      </c>
      <c r="P39" s="19">
        <f t="shared" si="1"/>
        <v>96917.70190810498</v>
      </c>
      <c r="Q39" s="3">
        <f t="shared" si="4"/>
        <v>100000</v>
      </c>
      <c r="S39" s="3">
        <f t="shared" si="11"/>
        <v>-3082.2980918950198</v>
      </c>
      <c r="T39" s="3">
        <f t="shared" si="17"/>
        <v>329398.56140896544</v>
      </c>
      <c r="U39" s="3">
        <f t="shared" si="9"/>
        <v>98819.568422689626</v>
      </c>
      <c r="V39" s="22">
        <f>+U39</f>
        <v>98819.568422689626</v>
      </c>
      <c r="X39" s="21" t="s">
        <v>40</v>
      </c>
      <c r="Y39" s="22">
        <f>+Y38*$V$2</f>
        <v>98819.568422689059</v>
      </c>
    </row>
    <row r="40" spans="5:25" x14ac:dyDescent="0.25">
      <c r="E40" s="16">
        <f t="shared" si="2"/>
        <v>37</v>
      </c>
      <c r="F40" s="9">
        <f t="shared" si="22"/>
        <v>2145582.1130204145</v>
      </c>
      <c r="G40" s="9">
        <f t="shared" si="23"/>
        <v>-100000</v>
      </c>
      <c r="H40" s="9">
        <f t="shared" si="24"/>
        <v>20455.821130204145</v>
      </c>
      <c r="I40" s="9">
        <f t="shared" si="25"/>
        <v>2066037.9341506187</v>
      </c>
      <c r="M40" s="16">
        <f t="shared" si="3"/>
        <v>37</v>
      </c>
      <c r="N40" s="3">
        <f t="shared" si="0"/>
        <v>20455.821130204145</v>
      </c>
      <c r="O40" s="3">
        <f t="shared" si="10"/>
        <v>75674.314650477114</v>
      </c>
      <c r="P40" s="19">
        <f t="shared" si="1"/>
        <v>96130.135780681259</v>
      </c>
      <c r="Q40" s="3">
        <f t="shared" si="4"/>
        <v>100000</v>
      </c>
      <c r="S40" s="3">
        <f t="shared" si="11"/>
        <v>-3869.8642193187407</v>
      </c>
      <c r="T40" s="3">
        <f t="shared" si="17"/>
        <v>325528.69718964671</v>
      </c>
      <c r="U40" s="3">
        <f t="shared" si="9"/>
        <v>97658.609156894017</v>
      </c>
      <c r="V40" s="1" t="s">
        <v>42</v>
      </c>
    </row>
    <row r="41" spans="5:25" x14ac:dyDescent="0.25">
      <c r="E41" s="16">
        <f t="shared" si="2"/>
        <v>38</v>
      </c>
      <c r="F41" s="9">
        <f t="shared" si="22"/>
        <v>2066037.9341506187</v>
      </c>
      <c r="G41" s="9">
        <f t="shared" si="23"/>
        <v>-100000</v>
      </c>
      <c r="H41" s="9">
        <f t="shared" si="24"/>
        <v>19660.379341506188</v>
      </c>
      <c r="I41" s="9">
        <f t="shared" si="25"/>
        <v>1985698.3134921249</v>
      </c>
      <c r="M41" s="16">
        <f t="shared" si="3"/>
        <v>38</v>
      </c>
      <c r="N41" s="3">
        <f t="shared" si="0"/>
        <v>19660.379341506188</v>
      </c>
      <c r="O41" s="3">
        <f t="shared" si="10"/>
        <v>75674.314650477114</v>
      </c>
      <c r="P41" s="19">
        <f t="shared" si="1"/>
        <v>95334.693991983309</v>
      </c>
      <c r="Q41" s="3">
        <f t="shared" si="4"/>
        <v>100000</v>
      </c>
      <c r="S41" s="3">
        <f t="shared" si="11"/>
        <v>-4665.3060080166906</v>
      </c>
      <c r="T41" s="3">
        <f t="shared" si="17"/>
        <v>320863.39118163002</v>
      </c>
      <c r="U41" s="3">
        <f t="shared" si="9"/>
        <v>96259.017354488999</v>
      </c>
    </row>
    <row r="42" spans="5:25" x14ac:dyDescent="0.25">
      <c r="E42" s="16">
        <f t="shared" si="2"/>
        <v>39</v>
      </c>
      <c r="F42" s="9">
        <f t="shared" si="22"/>
        <v>1985698.3134921249</v>
      </c>
      <c r="G42" s="9">
        <f t="shared" si="23"/>
        <v>-100000</v>
      </c>
      <c r="H42" s="9">
        <f t="shared" si="24"/>
        <v>18856.983134921251</v>
      </c>
      <c r="I42" s="9">
        <f t="shared" si="25"/>
        <v>1904555.2966270461</v>
      </c>
      <c r="M42" s="16">
        <f t="shared" si="3"/>
        <v>39</v>
      </c>
      <c r="N42" s="3">
        <f t="shared" si="0"/>
        <v>18856.983134921251</v>
      </c>
      <c r="O42" s="3">
        <f t="shared" si="10"/>
        <v>75674.314650477114</v>
      </c>
      <c r="P42" s="19">
        <f t="shared" si="1"/>
        <v>94531.297785398361</v>
      </c>
      <c r="Q42" s="3">
        <f t="shared" si="4"/>
        <v>100000</v>
      </c>
      <c r="S42" s="3">
        <f t="shared" si="11"/>
        <v>-5468.7022146016388</v>
      </c>
      <c r="T42" s="3">
        <f t="shared" si="17"/>
        <v>315394.6889670284</v>
      </c>
      <c r="U42" s="3">
        <f t="shared" si="9"/>
        <v>94618.406690108517</v>
      </c>
    </row>
    <row r="43" spans="5:25" x14ac:dyDescent="0.25">
      <c r="E43" s="16">
        <f t="shared" si="2"/>
        <v>40</v>
      </c>
      <c r="F43" s="9">
        <f t="shared" si="22"/>
        <v>1904555.2966270461</v>
      </c>
      <c r="G43" s="9">
        <f t="shared" si="23"/>
        <v>-100000</v>
      </c>
      <c r="H43" s="9">
        <f t="shared" si="24"/>
        <v>18045.552966270461</v>
      </c>
      <c r="I43" s="9">
        <f t="shared" si="25"/>
        <v>1822600.8495933164</v>
      </c>
      <c r="M43" s="16">
        <f t="shared" si="3"/>
        <v>40</v>
      </c>
      <c r="N43" s="3">
        <f t="shared" si="0"/>
        <v>18045.552966270461</v>
      </c>
      <c r="O43" s="3">
        <f t="shared" si="10"/>
        <v>75674.314650477114</v>
      </c>
      <c r="P43" s="19">
        <f t="shared" si="1"/>
        <v>93719.867616747579</v>
      </c>
      <c r="Q43" s="3">
        <f t="shared" si="4"/>
        <v>100000</v>
      </c>
      <c r="S43" s="3">
        <f t="shared" si="11"/>
        <v>-6280.1323832524213</v>
      </c>
      <c r="T43" s="3">
        <f t="shared" si="17"/>
        <v>309114.55658377596</v>
      </c>
      <c r="U43" s="3">
        <f t="shared" si="9"/>
        <v>92734.366975132783</v>
      </c>
    </row>
    <row r="44" spans="5:25" x14ac:dyDescent="0.25">
      <c r="E44" s="16">
        <f t="shared" si="2"/>
        <v>41</v>
      </c>
      <c r="F44" s="9">
        <f t="shared" si="22"/>
        <v>1822600.8495933164</v>
      </c>
      <c r="G44" s="9">
        <f t="shared" si="23"/>
        <v>-100000</v>
      </c>
      <c r="H44" s="9">
        <f t="shared" si="24"/>
        <v>17226.008495933165</v>
      </c>
      <c r="I44" s="9">
        <f t="shared" si="25"/>
        <v>1739826.8580892496</v>
      </c>
      <c r="M44" s="16">
        <f t="shared" si="3"/>
        <v>41</v>
      </c>
      <c r="N44" s="3">
        <f t="shared" si="0"/>
        <v>17226.008495933165</v>
      </c>
      <c r="O44" s="3">
        <f t="shared" si="10"/>
        <v>75674.314650477114</v>
      </c>
      <c r="P44" s="19">
        <f t="shared" si="1"/>
        <v>92900.323146410286</v>
      </c>
      <c r="Q44" s="3">
        <f t="shared" si="4"/>
        <v>100000</v>
      </c>
      <c r="S44" s="3">
        <f t="shared" si="11"/>
        <v>-7099.6768535897136</v>
      </c>
      <c r="T44" s="3">
        <f t="shared" si="17"/>
        <v>302014.87973018625</v>
      </c>
      <c r="U44" s="3">
        <f t="shared" si="9"/>
        <v>90604.463919055866</v>
      </c>
    </row>
    <row r="45" spans="5:25" x14ac:dyDescent="0.25">
      <c r="E45" s="16">
        <f t="shared" si="2"/>
        <v>42</v>
      </c>
      <c r="F45" s="9">
        <f t="shared" si="22"/>
        <v>1739826.8580892496</v>
      </c>
      <c r="G45" s="9">
        <f t="shared" si="23"/>
        <v>-100000</v>
      </c>
      <c r="H45" s="9">
        <f t="shared" si="24"/>
        <v>16398.268580892494</v>
      </c>
      <c r="I45" s="9">
        <f t="shared" si="25"/>
        <v>1656225.1266701422</v>
      </c>
      <c r="M45" s="16">
        <f t="shared" si="3"/>
        <v>42</v>
      </c>
      <c r="N45" s="3">
        <f t="shared" si="0"/>
        <v>16398.268580892494</v>
      </c>
      <c r="O45" s="3">
        <f t="shared" si="10"/>
        <v>75674.314650477114</v>
      </c>
      <c r="P45" s="19">
        <f t="shared" si="1"/>
        <v>92072.583231369616</v>
      </c>
      <c r="Q45" s="3">
        <f t="shared" si="4"/>
        <v>100000</v>
      </c>
      <c r="S45" s="3">
        <f t="shared" si="11"/>
        <v>-7927.4167686303845</v>
      </c>
      <c r="T45" s="3">
        <f t="shared" si="17"/>
        <v>294087.46296155587</v>
      </c>
      <c r="U45" s="3">
        <f t="shared" si="9"/>
        <v>88226.23888846676</v>
      </c>
    </row>
    <row r="46" spans="5:25" x14ac:dyDescent="0.25">
      <c r="E46" s="16">
        <f t="shared" si="2"/>
        <v>43</v>
      </c>
      <c r="F46" s="9">
        <f t="shared" si="22"/>
        <v>1656225.1266701422</v>
      </c>
      <c r="G46" s="9">
        <f t="shared" si="23"/>
        <v>-100000</v>
      </c>
      <c r="H46" s="9">
        <f t="shared" si="24"/>
        <v>15562.251266701422</v>
      </c>
      <c r="I46" s="9">
        <f t="shared" si="25"/>
        <v>1571787.3779368435</v>
      </c>
      <c r="M46" s="16">
        <f t="shared" si="3"/>
        <v>43</v>
      </c>
      <c r="N46" s="3">
        <f t="shared" si="0"/>
        <v>15562.251266701422</v>
      </c>
      <c r="O46" s="3">
        <f t="shared" si="10"/>
        <v>75674.314650477114</v>
      </c>
      <c r="P46" s="19">
        <f t="shared" si="1"/>
        <v>91236.565917178537</v>
      </c>
      <c r="Q46" s="3">
        <f t="shared" si="4"/>
        <v>100000</v>
      </c>
      <c r="S46" s="3">
        <f t="shared" si="11"/>
        <v>-8763.4340828214627</v>
      </c>
      <c r="T46" s="3">
        <f t="shared" si="17"/>
        <v>285324.02887873439</v>
      </c>
      <c r="U46" s="3">
        <f t="shared" si="9"/>
        <v>85597.208663620317</v>
      </c>
    </row>
    <row r="47" spans="5:25" x14ac:dyDescent="0.25">
      <c r="E47" s="16">
        <f t="shared" si="2"/>
        <v>44</v>
      </c>
      <c r="F47" s="9">
        <f t="shared" si="22"/>
        <v>1571787.3779368435</v>
      </c>
      <c r="G47" s="9">
        <f t="shared" si="23"/>
        <v>-100000</v>
      </c>
      <c r="H47" s="9">
        <f t="shared" si="24"/>
        <v>14717.873779368436</v>
      </c>
      <c r="I47" s="9">
        <f t="shared" si="25"/>
        <v>1486505.2517162119</v>
      </c>
      <c r="M47" s="16">
        <f t="shared" si="3"/>
        <v>44</v>
      </c>
      <c r="N47" s="3">
        <f t="shared" si="0"/>
        <v>14717.873779368436</v>
      </c>
      <c r="O47" s="3">
        <f t="shared" si="10"/>
        <v>75674.314650477114</v>
      </c>
      <c r="P47" s="19">
        <f t="shared" si="1"/>
        <v>90392.188429845555</v>
      </c>
      <c r="Q47" s="3">
        <f t="shared" si="4"/>
        <v>100000</v>
      </c>
      <c r="S47" s="3">
        <f t="shared" si="11"/>
        <v>-9607.8115701544448</v>
      </c>
      <c r="T47" s="3">
        <f t="shared" si="17"/>
        <v>275716.21730857994</v>
      </c>
      <c r="U47" s="3">
        <f t="shared" si="9"/>
        <v>82714.865192573983</v>
      </c>
      <c r="X47" s="1" t="s">
        <v>41</v>
      </c>
    </row>
    <row r="48" spans="5:25" x14ac:dyDescent="0.25">
      <c r="E48" s="16">
        <f t="shared" si="2"/>
        <v>45</v>
      </c>
      <c r="F48" s="9">
        <f t="shared" si="22"/>
        <v>1486505.2517162119</v>
      </c>
      <c r="G48" s="9">
        <f t="shared" si="23"/>
        <v>-100000</v>
      </c>
      <c r="H48" s="9">
        <f t="shared" si="24"/>
        <v>13865.052517162119</v>
      </c>
      <c r="I48" s="9">
        <f t="shared" si="25"/>
        <v>1400370.3042333741</v>
      </c>
      <c r="M48" s="16">
        <f t="shared" si="3"/>
        <v>45</v>
      </c>
      <c r="N48" s="3">
        <f t="shared" si="0"/>
        <v>13865.052517162119</v>
      </c>
      <c r="O48" s="3">
        <f t="shared" si="10"/>
        <v>75674.314650477114</v>
      </c>
      <c r="P48" s="19">
        <f t="shared" si="1"/>
        <v>89539.367167639226</v>
      </c>
      <c r="Q48" s="3">
        <f t="shared" si="4"/>
        <v>100000</v>
      </c>
      <c r="S48" s="3">
        <f t="shared" si="11"/>
        <v>-10460.632832360774</v>
      </c>
      <c r="T48" s="3">
        <f t="shared" si="17"/>
        <v>265255.58447621914</v>
      </c>
      <c r="U48" s="3">
        <f t="shared" si="9"/>
        <v>79576.675342865739</v>
      </c>
      <c r="X48" s="1" t="s">
        <v>37</v>
      </c>
      <c r="Y48" s="3">
        <f>+I51</f>
        <v>1136762.8248219495</v>
      </c>
    </row>
    <row r="49" spans="5:25" x14ac:dyDescent="0.25">
      <c r="E49" s="16">
        <f t="shared" si="2"/>
        <v>46</v>
      </c>
      <c r="F49" s="9">
        <f t="shared" si="22"/>
        <v>1400370.3042333741</v>
      </c>
      <c r="G49" s="9">
        <f t="shared" si="23"/>
        <v>-100000</v>
      </c>
      <c r="H49" s="9">
        <f t="shared" si="24"/>
        <v>13003.703042333742</v>
      </c>
      <c r="I49" s="9">
        <f t="shared" si="25"/>
        <v>1313374.0072757078</v>
      </c>
      <c r="M49" s="16">
        <f t="shared" si="3"/>
        <v>46</v>
      </c>
      <c r="N49" s="3">
        <f t="shared" si="0"/>
        <v>13003.703042333742</v>
      </c>
      <c r="O49" s="3">
        <f t="shared" si="10"/>
        <v>75674.314650477114</v>
      </c>
      <c r="P49" s="19">
        <f t="shared" si="1"/>
        <v>88678.017692810856</v>
      </c>
      <c r="Q49" s="3">
        <f t="shared" si="4"/>
        <v>100000</v>
      </c>
      <c r="S49" s="3">
        <f t="shared" si="11"/>
        <v>-11321.982307189144</v>
      </c>
      <c r="T49" s="3">
        <f t="shared" si="17"/>
        <v>253933.60216903</v>
      </c>
      <c r="U49" s="3">
        <f t="shared" si="9"/>
        <v>76180.080650709002</v>
      </c>
      <c r="X49" s="1" t="s">
        <v>38</v>
      </c>
      <c r="Y49" s="3">
        <f>+Y37-B19*12</f>
        <v>908091.7758057256</v>
      </c>
    </row>
    <row r="50" spans="5:25" x14ac:dyDescent="0.25">
      <c r="E50" s="16">
        <f t="shared" si="2"/>
        <v>47</v>
      </c>
      <c r="F50" s="9">
        <f t="shared" si="22"/>
        <v>1313374.0072757078</v>
      </c>
      <c r="G50" s="9">
        <f t="shared" si="23"/>
        <v>-100000</v>
      </c>
      <c r="H50" s="9">
        <f t="shared" si="24"/>
        <v>12133.740072757078</v>
      </c>
      <c r="I50" s="9">
        <f t="shared" si="25"/>
        <v>1225507.7473484648</v>
      </c>
      <c r="M50" s="16">
        <f t="shared" si="3"/>
        <v>47</v>
      </c>
      <c r="N50" s="3">
        <f t="shared" si="0"/>
        <v>12133.740072757078</v>
      </c>
      <c r="O50" s="3">
        <f t="shared" si="10"/>
        <v>75674.314650477114</v>
      </c>
      <c r="P50" s="19">
        <f t="shared" si="1"/>
        <v>87808.054723234192</v>
      </c>
      <c r="Q50" s="3">
        <f t="shared" si="4"/>
        <v>100000</v>
      </c>
      <c r="S50" s="3">
        <f t="shared" si="11"/>
        <v>-12191.945276765808</v>
      </c>
      <c r="T50" s="3">
        <f t="shared" si="17"/>
        <v>241741.6568922642</v>
      </c>
      <c r="U50" s="3">
        <f t="shared" si="9"/>
        <v>72522.497067679258</v>
      </c>
      <c r="X50" s="1" t="s">
        <v>39</v>
      </c>
      <c r="Y50" s="3">
        <f>+Y48-Y49</f>
        <v>228671.04901622387</v>
      </c>
    </row>
    <row r="51" spans="5:25" x14ac:dyDescent="0.25">
      <c r="E51" s="16">
        <f t="shared" si="2"/>
        <v>48</v>
      </c>
      <c r="F51" s="9">
        <f t="shared" si="22"/>
        <v>1225507.7473484648</v>
      </c>
      <c r="G51" s="9">
        <f t="shared" si="23"/>
        <v>-100000</v>
      </c>
      <c r="H51" s="9">
        <f t="shared" si="24"/>
        <v>11255.077473484647</v>
      </c>
      <c r="I51" s="9">
        <f t="shared" si="25"/>
        <v>1136762.8248219495</v>
      </c>
      <c r="M51" s="16">
        <f t="shared" si="3"/>
        <v>48</v>
      </c>
      <c r="N51" s="3">
        <f t="shared" si="0"/>
        <v>11255.077473484647</v>
      </c>
      <c r="O51" s="3">
        <f t="shared" si="10"/>
        <v>75674.314650477114</v>
      </c>
      <c r="P51" s="19">
        <f t="shared" si="1"/>
        <v>86929.392123961763</v>
      </c>
      <c r="Q51" s="3">
        <f t="shared" si="4"/>
        <v>100000</v>
      </c>
      <c r="S51" s="3">
        <f t="shared" si="11"/>
        <v>-13070.607876038237</v>
      </c>
      <c r="T51" s="3">
        <f t="shared" si="17"/>
        <v>228671.04901622597</v>
      </c>
      <c r="U51" s="3">
        <f t="shared" si="9"/>
        <v>68601.314704867793</v>
      </c>
      <c r="V51" s="22">
        <f>+U51</f>
        <v>68601.314704867793</v>
      </c>
      <c r="X51" s="21" t="s">
        <v>40</v>
      </c>
      <c r="Y51" s="22">
        <f>+Y50*$V$2</f>
        <v>68601.314704867153</v>
      </c>
    </row>
    <row r="52" spans="5:25" x14ac:dyDescent="0.25">
      <c r="E52" s="16">
        <f t="shared" si="2"/>
        <v>49</v>
      </c>
      <c r="F52" s="9">
        <f t="shared" si="22"/>
        <v>1136762.8248219495</v>
      </c>
      <c r="G52" s="9">
        <f t="shared" si="23"/>
        <v>-100000</v>
      </c>
      <c r="H52" s="9">
        <f t="shared" si="24"/>
        <v>10367.628248219495</v>
      </c>
      <c r="I52" s="9">
        <f t="shared" si="25"/>
        <v>1047130.453070169</v>
      </c>
      <c r="M52" s="16">
        <f t="shared" si="3"/>
        <v>49</v>
      </c>
      <c r="N52" s="3">
        <f t="shared" si="0"/>
        <v>10367.628248219495</v>
      </c>
      <c r="O52" s="3">
        <f t="shared" si="10"/>
        <v>75674.314650477114</v>
      </c>
      <c r="P52" s="19">
        <f t="shared" si="1"/>
        <v>86041.942898696609</v>
      </c>
      <c r="Q52" s="3">
        <f t="shared" si="4"/>
        <v>100000</v>
      </c>
      <c r="S52" s="3">
        <f t="shared" si="11"/>
        <v>-13958.057101303391</v>
      </c>
      <c r="T52" s="3">
        <f t="shared" si="17"/>
        <v>214712.99191492258</v>
      </c>
      <c r="U52" s="3">
        <f t="shared" si="9"/>
        <v>64413.897574476767</v>
      </c>
    </row>
    <row r="53" spans="5:25" x14ac:dyDescent="0.25">
      <c r="E53" s="16">
        <f t="shared" si="2"/>
        <v>50</v>
      </c>
      <c r="F53" s="9">
        <f t="shared" si="22"/>
        <v>1047130.453070169</v>
      </c>
      <c r="G53" s="9">
        <f t="shared" si="23"/>
        <v>-100000</v>
      </c>
      <c r="H53" s="9">
        <f t="shared" si="24"/>
        <v>9471.3045307016891</v>
      </c>
      <c r="I53" s="9">
        <f t="shared" si="25"/>
        <v>956601.75760087068</v>
      </c>
      <c r="M53" s="16">
        <f t="shared" si="3"/>
        <v>50</v>
      </c>
      <c r="N53" s="3">
        <f t="shared" si="0"/>
        <v>9471.3045307016891</v>
      </c>
      <c r="O53" s="3">
        <f t="shared" si="10"/>
        <v>75674.314650477114</v>
      </c>
      <c r="P53" s="19">
        <f t="shared" si="1"/>
        <v>85145.619181178801</v>
      </c>
      <c r="Q53" s="3">
        <f t="shared" si="4"/>
        <v>100000</v>
      </c>
      <c r="S53" s="3">
        <f t="shared" si="11"/>
        <v>-14854.380818821199</v>
      </c>
      <c r="T53" s="3">
        <f t="shared" si="17"/>
        <v>199858.61109610138</v>
      </c>
      <c r="U53" s="3">
        <f t="shared" si="9"/>
        <v>59957.583328830413</v>
      </c>
    </row>
    <row r="54" spans="5:25" x14ac:dyDescent="0.25">
      <c r="E54" s="16">
        <f t="shared" si="2"/>
        <v>51</v>
      </c>
      <c r="F54" s="9">
        <f t="shared" si="22"/>
        <v>956601.75760087068</v>
      </c>
      <c r="G54" s="9">
        <f t="shared" si="23"/>
        <v>-100000</v>
      </c>
      <c r="H54" s="9">
        <f t="shared" si="24"/>
        <v>8566.0175760087077</v>
      </c>
      <c r="I54" s="9">
        <f t="shared" si="25"/>
        <v>865167.77517687937</v>
      </c>
      <c r="M54" s="16">
        <f t="shared" si="3"/>
        <v>51</v>
      </c>
      <c r="N54" s="3">
        <f t="shared" si="0"/>
        <v>8566.0175760087077</v>
      </c>
      <c r="O54" s="3">
        <f t="shared" si="10"/>
        <v>75674.314650477114</v>
      </c>
      <c r="P54" s="19">
        <f t="shared" si="1"/>
        <v>84240.332226485829</v>
      </c>
      <c r="Q54" s="3">
        <f t="shared" si="4"/>
        <v>100000</v>
      </c>
      <c r="S54" s="3">
        <f t="shared" si="11"/>
        <v>-15759.667773514171</v>
      </c>
      <c r="T54" s="3">
        <f t="shared" si="17"/>
        <v>184098.94332258721</v>
      </c>
      <c r="U54" s="3">
        <f t="shared" si="9"/>
        <v>55229.682996776159</v>
      </c>
    </row>
    <row r="55" spans="5:25" x14ac:dyDescent="0.25">
      <c r="E55" s="16">
        <f t="shared" si="2"/>
        <v>52</v>
      </c>
      <c r="F55" s="9">
        <f t="shared" si="22"/>
        <v>865167.77517687937</v>
      </c>
      <c r="G55" s="9">
        <f t="shared" si="23"/>
        <v>-100000</v>
      </c>
      <c r="H55" s="9">
        <f t="shared" si="24"/>
        <v>7651.6777517687942</v>
      </c>
      <c r="I55" s="9">
        <f t="shared" si="25"/>
        <v>772819.45292864821</v>
      </c>
      <c r="M55" s="16">
        <f t="shared" si="3"/>
        <v>52</v>
      </c>
      <c r="N55" s="3">
        <f t="shared" si="0"/>
        <v>7651.6777517687942</v>
      </c>
      <c r="O55" s="3">
        <f t="shared" si="10"/>
        <v>75674.314650477114</v>
      </c>
      <c r="P55" s="19">
        <f t="shared" si="1"/>
        <v>83325.992402245902</v>
      </c>
      <c r="Q55" s="3">
        <f t="shared" si="4"/>
        <v>100000</v>
      </c>
      <c r="S55" s="3">
        <f t="shared" si="11"/>
        <v>-16674.007597754098</v>
      </c>
      <c r="T55" s="3">
        <f t="shared" si="17"/>
        <v>167424.93572483311</v>
      </c>
      <c r="U55" s="3">
        <f t="shared" si="9"/>
        <v>50227.480717449929</v>
      </c>
    </row>
    <row r="56" spans="5:25" x14ac:dyDescent="0.25">
      <c r="E56" s="16">
        <f t="shared" si="2"/>
        <v>53</v>
      </c>
      <c r="F56" s="9">
        <f t="shared" si="22"/>
        <v>772819.45292864821</v>
      </c>
      <c r="G56" s="9">
        <f t="shared" si="23"/>
        <v>-100000</v>
      </c>
      <c r="H56" s="9">
        <f t="shared" si="24"/>
        <v>6728.1945292864821</v>
      </c>
      <c r="I56" s="9">
        <f t="shared" si="25"/>
        <v>679547.64745793468</v>
      </c>
      <c r="M56" s="16">
        <f t="shared" si="3"/>
        <v>53</v>
      </c>
      <c r="N56" s="3">
        <f t="shared" si="0"/>
        <v>6728.1945292864821</v>
      </c>
      <c r="O56" s="3">
        <f t="shared" si="10"/>
        <v>75674.314650477114</v>
      </c>
      <c r="P56" s="19">
        <f t="shared" si="1"/>
        <v>82402.509179763598</v>
      </c>
      <c r="Q56" s="3">
        <f t="shared" si="4"/>
        <v>100000</v>
      </c>
      <c r="S56" s="3">
        <f t="shared" si="11"/>
        <v>-17597.490820236402</v>
      </c>
      <c r="T56" s="3">
        <f t="shared" si="17"/>
        <v>149827.44490459672</v>
      </c>
      <c r="U56" s="3">
        <f t="shared" si="9"/>
        <v>44948.233471379011</v>
      </c>
    </row>
    <row r="57" spans="5:25" x14ac:dyDescent="0.25">
      <c r="E57" s="16">
        <f t="shared" si="2"/>
        <v>54</v>
      </c>
      <c r="F57" s="9">
        <f t="shared" si="22"/>
        <v>679547.64745793468</v>
      </c>
      <c r="G57" s="9">
        <f t="shared" si="23"/>
        <v>-100000</v>
      </c>
      <c r="H57" s="9">
        <f t="shared" si="24"/>
        <v>5795.4764745793473</v>
      </c>
      <c r="I57" s="9">
        <f t="shared" si="25"/>
        <v>585343.12393251399</v>
      </c>
      <c r="M57" s="16">
        <f t="shared" si="3"/>
        <v>54</v>
      </c>
      <c r="N57" s="3">
        <f t="shared" si="0"/>
        <v>5795.4764745793473</v>
      </c>
      <c r="O57" s="3">
        <f t="shared" si="10"/>
        <v>75674.314650477114</v>
      </c>
      <c r="P57" s="19">
        <f t="shared" si="1"/>
        <v>81469.791125056465</v>
      </c>
      <c r="Q57" s="3">
        <f t="shared" si="4"/>
        <v>100000</v>
      </c>
      <c r="S57" s="3">
        <f t="shared" si="11"/>
        <v>-18530.208874943535</v>
      </c>
      <c r="T57" s="3">
        <f t="shared" si="17"/>
        <v>131297.23602965317</v>
      </c>
      <c r="U57" s="3">
        <f t="shared" si="9"/>
        <v>39389.170808895949</v>
      </c>
    </row>
    <row r="58" spans="5:25" x14ac:dyDescent="0.25">
      <c r="E58" s="16">
        <f t="shared" si="2"/>
        <v>55</v>
      </c>
      <c r="F58" s="9">
        <f t="shared" si="22"/>
        <v>585343.12393251399</v>
      </c>
      <c r="G58" s="9">
        <f t="shared" si="23"/>
        <v>-100000</v>
      </c>
      <c r="H58" s="9">
        <f t="shared" si="24"/>
        <v>4853.4312393251403</v>
      </c>
      <c r="I58" s="9">
        <f t="shared" si="25"/>
        <v>490196.55517183914</v>
      </c>
      <c r="M58" s="16">
        <f t="shared" si="3"/>
        <v>55</v>
      </c>
      <c r="N58" s="3">
        <f t="shared" si="0"/>
        <v>4853.4312393251403</v>
      </c>
      <c r="O58" s="3">
        <f t="shared" si="10"/>
        <v>75674.314650477114</v>
      </c>
      <c r="P58" s="19">
        <f t="shared" si="1"/>
        <v>80527.74588980226</v>
      </c>
      <c r="Q58" s="3">
        <f t="shared" si="4"/>
        <v>100000</v>
      </c>
      <c r="S58" s="3">
        <f t="shared" si="11"/>
        <v>-19472.25411019774</v>
      </c>
      <c r="T58" s="3">
        <f t="shared" si="17"/>
        <v>111824.98191945543</v>
      </c>
      <c r="U58" s="3">
        <f t="shared" si="9"/>
        <v>33547.49457583663</v>
      </c>
    </row>
    <row r="59" spans="5:25" x14ac:dyDescent="0.25">
      <c r="E59" s="16">
        <f t="shared" si="2"/>
        <v>56</v>
      </c>
      <c r="F59" s="9">
        <f t="shared" si="22"/>
        <v>490196.55517183914</v>
      </c>
      <c r="G59" s="9">
        <f t="shared" si="23"/>
        <v>-100000</v>
      </c>
      <c r="H59" s="9">
        <f t="shared" si="24"/>
        <v>3901.9655517183915</v>
      </c>
      <c r="I59" s="9">
        <f t="shared" si="25"/>
        <v>394098.52072355751</v>
      </c>
      <c r="M59" s="16">
        <f t="shared" si="3"/>
        <v>56</v>
      </c>
      <c r="N59" s="3">
        <f t="shared" si="0"/>
        <v>3901.9655517183915</v>
      </c>
      <c r="O59" s="3">
        <f t="shared" si="10"/>
        <v>75674.314650477114</v>
      </c>
      <c r="P59" s="19">
        <f t="shared" si="1"/>
        <v>79576.280202195499</v>
      </c>
      <c r="Q59" s="3">
        <f t="shared" si="4"/>
        <v>100000</v>
      </c>
      <c r="S59" s="3">
        <f t="shared" si="11"/>
        <v>-20423.719797804501</v>
      </c>
      <c r="T59" s="3">
        <f t="shared" si="17"/>
        <v>91401.262121650929</v>
      </c>
      <c r="U59" s="3">
        <f t="shared" si="9"/>
        <v>27420.378636495279</v>
      </c>
      <c r="X59" s="1" t="s">
        <v>41</v>
      </c>
    </row>
    <row r="60" spans="5:25" x14ac:dyDescent="0.25">
      <c r="E60" s="16">
        <f t="shared" si="2"/>
        <v>57</v>
      </c>
      <c r="F60" s="9">
        <f t="shared" si="22"/>
        <v>394098.52072355751</v>
      </c>
      <c r="G60" s="9">
        <f t="shared" si="23"/>
        <v>-100000</v>
      </c>
      <c r="H60" s="9">
        <f t="shared" si="24"/>
        <v>2940.9852072355752</v>
      </c>
      <c r="I60" s="9">
        <f t="shared" si="25"/>
        <v>297039.50593079306</v>
      </c>
      <c r="M60" s="16">
        <f t="shared" si="3"/>
        <v>57</v>
      </c>
      <c r="N60" s="3">
        <f t="shared" si="0"/>
        <v>2940.9852072355752</v>
      </c>
      <c r="O60" s="3">
        <f t="shared" si="10"/>
        <v>75674.314650477114</v>
      </c>
      <c r="P60" s="19">
        <f t="shared" si="1"/>
        <v>78615.299857712685</v>
      </c>
      <c r="Q60" s="3">
        <f t="shared" si="4"/>
        <v>100000</v>
      </c>
      <c r="S60" s="3">
        <f t="shared" si="11"/>
        <v>-21384.700142287315</v>
      </c>
      <c r="T60" s="3">
        <f t="shared" si="17"/>
        <v>70016.561979363614</v>
      </c>
      <c r="U60" s="3">
        <f t="shared" si="9"/>
        <v>21004.968593809084</v>
      </c>
      <c r="X60" s="1" t="s">
        <v>37</v>
      </c>
      <c r="Y60" s="3">
        <f>+I63</f>
        <v>2.0135485101491214E-9</v>
      </c>
    </row>
    <row r="61" spans="5:25" x14ac:dyDescent="0.25">
      <c r="E61" s="16">
        <f t="shared" si="2"/>
        <v>58</v>
      </c>
      <c r="F61" s="9">
        <f t="shared" si="22"/>
        <v>297039.50593079306</v>
      </c>
      <c r="G61" s="9">
        <f t="shared" si="23"/>
        <v>-100000</v>
      </c>
      <c r="H61" s="9">
        <f t="shared" si="24"/>
        <v>1970.3950593079308</v>
      </c>
      <c r="I61" s="9">
        <f t="shared" si="25"/>
        <v>199009.90099010098</v>
      </c>
      <c r="M61" s="16">
        <f t="shared" si="3"/>
        <v>58</v>
      </c>
      <c r="N61" s="3">
        <f t="shared" si="0"/>
        <v>1970.3950593079308</v>
      </c>
      <c r="O61" s="3">
        <f t="shared" si="10"/>
        <v>75674.314650477114</v>
      </c>
      <c r="P61" s="19">
        <f t="shared" si="1"/>
        <v>77644.709709785049</v>
      </c>
      <c r="Q61" s="3">
        <f t="shared" si="4"/>
        <v>100000</v>
      </c>
      <c r="S61" s="3">
        <f t="shared" si="11"/>
        <v>-22355.290290214951</v>
      </c>
      <c r="T61" s="3">
        <f t="shared" si="17"/>
        <v>47661.271689148663</v>
      </c>
      <c r="U61" s="3">
        <f t="shared" si="9"/>
        <v>14298.381506744599</v>
      </c>
      <c r="X61" s="1" t="s">
        <v>38</v>
      </c>
      <c r="Y61" s="3">
        <f>+Y49-B19*12</f>
        <v>0</v>
      </c>
    </row>
    <row r="62" spans="5:25" x14ac:dyDescent="0.25">
      <c r="E62" s="16">
        <f t="shared" si="2"/>
        <v>59</v>
      </c>
      <c r="F62" s="9">
        <f t="shared" si="22"/>
        <v>199009.90099010098</v>
      </c>
      <c r="G62" s="9">
        <f t="shared" si="23"/>
        <v>-100000</v>
      </c>
      <c r="H62" s="9">
        <f t="shared" si="24"/>
        <v>990.09900990100982</v>
      </c>
      <c r="I62" s="9">
        <f t="shared" si="25"/>
        <v>100000.00000000199</v>
      </c>
      <c r="M62" s="16">
        <f t="shared" si="3"/>
        <v>59</v>
      </c>
      <c r="N62" s="3">
        <f t="shared" si="0"/>
        <v>990.09900990100982</v>
      </c>
      <c r="O62" s="3">
        <f t="shared" si="10"/>
        <v>75674.314650477114</v>
      </c>
      <c r="P62" s="19">
        <f t="shared" si="1"/>
        <v>76664.413660378123</v>
      </c>
      <c r="Q62" s="3">
        <f t="shared" si="4"/>
        <v>100000</v>
      </c>
      <c r="S62" s="3">
        <f t="shared" si="11"/>
        <v>-23335.586339621877</v>
      </c>
      <c r="T62" s="3">
        <f t="shared" si="17"/>
        <v>24325.685349526786</v>
      </c>
      <c r="U62" s="3">
        <f t="shared" si="9"/>
        <v>7297.7056048580353</v>
      </c>
      <c r="X62" s="1" t="s">
        <v>39</v>
      </c>
      <c r="Y62" s="3">
        <f>+Y60-Y61</f>
        <v>2.0135485101491214E-9</v>
      </c>
    </row>
    <row r="63" spans="5:25" x14ac:dyDescent="0.25">
      <c r="E63" s="16">
        <f t="shared" si="2"/>
        <v>60</v>
      </c>
      <c r="F63" s="9">
        <f t="shared" si="22"/>
        <v>100000.00000000199</v>
      </c>
      <c r="G63" s="9">
        <f t="shared" si="23"/>
        <v>-100000</v>
      </c>
      <c r="H63" s="15">
        <f t="shared" si="24"/>
        <v>1.9936123862862589E-11</v>
      </c>
      <c r="I63" s="15">
        <f t="shared" si="25"/>
        <v>2.0135485101491214E-9</v>
      </c>
      <c r="M63" s="16">
        <f t="shared" si="3"/>
        <v>60</v>
      </c>
      <c r="N63" s="3">
        <f t="shared" si="0"/>
        <v>1.9936123862862589E-11</v>
      </c>
      <c r="O63" s="3">
        <f t="shared" si="10"/>
        <v>75674.314650477114</v>
      </c>
      <c r="P63" s="19">
        <f t="shared" si="1"/>
        <v>75674.314650477128</v>
      </c>
      <c r="Q63" s="3">
        <f t="shared" si="4"/>
        <v>100000</v>
      </c>
      <c r="S63" s="3">
        <f t="shared" si="11"/>
        <v>-24325.685349522872</v>
      </c>
      <c r="T63" s="15">
        <f t="shared" si="17"/>
        <v>3.9144651964306831E-9</v>
      </c>
      <c r="U63" s="3">
        <f t="shared" si="9"/>
        <v>1.174339558929205E-9</v>
      </c>
      <c r="V63" s="22">
        <f>+U63</f>
        <v>1.174339558929205E-9</v>
      </c>
      <c r="X63" s="21" t="s">
        <v>40</v>
      </c>
      <c r="Y63" s="22">
        <f>+Y62*$V$2</f>
        <v>6.0406455304473643E-10</v>
      </c>
    </row>
    <row r="64" spans="5:25" x14ac:dyDescent="0.25">
      <c r="N64" s="15">
        <f>SUM(N4:N63)</f>
        <v>1459541.1209713775</v>
      </c>
      <c r="O64" s="15">
        <f>SUM(O4:O63)</f>
        <v>4540458.8790286211</v>
      </c>
      <c r="P64" s="15">
        <f>SUM(P4:P63)</f>
        <v>6000000.0000000037</v>
      </c>
      <c r="Q64" s="15">
        <f>SUM(Q4:Q63)</f>
        <v>6000000</v>
      </c>
      <c r="S64" s="15">
        <f>SUM(S4:S63)</f>
        <v>3.9144651964306831E-9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2024-06-04T04:31:46Z</dcterms:created>
  <dcterms:modified xsi:type="dcterms:W3CDTF">2024-06-04T15:28:54Z</dcterms:modified>
</cp:coreProperties>
</file>