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OneDrive\Escritorio\"/>
    </mc:Choice>
  </mc:AlternateContent>
  <xr:revisionPtr revIDLastSave="0" documentId="13_ncr:1_{194E0A70-E9EB-4223-9CAC-72B240D0FFF8}" xr6:coauthVersionLast="47" xr6:coauthVersionMax="47" xr10:uidLastSave="{00000000-0000-0000-0000-000000000000}"/>
  <bookViews>
    <workbookView xWindow="-120" yWindow="-120" windowWidth="29040" windowHeight="15720" activeTab="1" xr2:uid="{CD505771-A9B5-4A98-9FCE-382206794F14}"/>
  </bookViews>
  <sheets>
    <sheet name="-1-" sheetId="1" r:id="rId1"/>
    <sheet name="-2-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68" i="1" l="1"/>
  <c r="AE168" i="1"/>
  <c r="AD168" i="1"/>
  <c r="AC168" i="1"/>
  <c r="AC167" i="1"/>
  <c r="AD166" i="1" s="1"/>
  <c r="AD167" i="1" s="1"/>
  <c r="AE166" i="1" s="1"/>
  <c r="AE167" i="1" s="1"/>
  <c r="AF166" i="1" s="1"/>
  <c r="AF167" i="1" s="1"/>
  <c r="AC166" i="1"/>
  <c r="AF156" i="1"/>
  <c r="AF165" i="1" s="1"/>
  <c r="AE156" i="1"/>
  <c r="AE165" i="1" s="1"/>
  <c r="AD156" i="1"/>
  <c r="AD165" i="1" s="1"/>
  <c r="AC156" i="1"/>
  <c r="AC165" i="1" s="1"/>
  <c r="AB156" i="1"/>
  <c r="AB166" i="1"/>
  <c r="AB165" i="1"/>
  <c r="AB167" i="1" s="1"/>
  <c r="AB168" i="1" s="1"/>
  <c r="AF162" i="1"/>
  <c r="AE162" i="1"/>
  <c r="AD162" i="1"/>
  <c r="AC162" i="1"/>
  <c r="AF161" i="1"/>
  <c r="AE161" i="1"/>
  <c r="AD161" i="1"/>
  <c r="AD163" i="1" s="1"/>
  <c r="AC161" i="1"/>
  <c r="AC163" i="1" s="1"/>
  <c r="AB162" i="1"/>
  <c r="AB161" i="1"/>
  <c r="AF163" i="1"/>
  <c r="AE163" i="1"/>
  <c r="AF159" i="1"/>
  <c r="AE159" i="1"/>
  <c r="AD159" i="1"/>
  <c r="AC159" i="1"/>
  <c r="AB159" i="1"/>
  <c r="AF158" i="1"/>
  <c r="AE158" i="1"/>
  <c r="AD158" i="1"/>
  <c r="AC158" i="1"/>
  <c r="AB158" i="1"/>
  <c r="AF155" i="1"/>
  <c r="AE155" i="1"/>
  <c r="AD155" i="1"/>
  <c r="AC155" i="1"/>
  <c r="AB155" i="1"/>
  <c r="AF154" i="1"/>
  <c r="AE154" i="1"/>
  <c r="AD154" i="1"/>
  <c r="AC154" i="1"/>
  <c r="AB154" i="1"/>
  <c r="AF153" i="1"/>
  <c r="AE153" i="1"/>
  <c r="AD153" i="1"/>
  <c r="AC153" i="1"/>
  <c r="AB153" i="1"/>
  <c r="AF152" i="1"/>
  <c r="AE152" i="1"/>
  <c r="AD152" i="1"/>
  <c r="AC152" i="1"/>
  <c r="AB152" i="1"/>
  <c r="G283" i="1"/>
  <c r="U225" i="1"/>
  <c r="Y224" i="1"/>
  <c r="W224" i="1"/>
  <c r="V224" i="1"/>
  <c r="U224" i="1"/>
  <c r="U200" i="1"/>
  <c r="AF124" i="1"/>
  <c r="AD124" i="1"/>
  <c r="AC124" i="1"/>
  <c r="AB124" i="1"/>
  <c r="U187" i="1"/>
  <c r="U124" i="1"/>
  <c r="G147" i="1"/>
  <c r="G148" i="1" s="1"/>
  <c r="G140" i="1"/>
  <c r="G145" i="1" s="1"/>
  <c r="U171" i="1" s="1"/>
  <c r="G142" i="1"/>
  <c r="U158" i="1" s="1"/>
  <c r="U161" i="1" s="1"/>
  <c r="V158" i="1" s="1"/>
  <c r="V161" i="1" s="1"/>
  <c r="W158" i="1" s="1"/>
  <c r="W161" i="1" s="1"/>
  <c r="X158" i="1" s="1"/>
  <c r="G133" i="1"/>
  <c r="G132" i="1"/>
  <c r="G131" i="1"/>
  <c r="G151" i="1" s="1"/>
  <c r="U136" i="1"/>
  <c r="X164" i="1"/>
  <c r="AE124" i="1" s="1"/>
  <c r="U166" i="1"/>
  <c r="V163" i="1" s="1"/>
  <c r="V166" i="1" s="1"/>
  <c r="W163" i="1" s="1"/>
  <c r="W166" i="1" s="1"/>
  <c r="X163" i="1" s="1"/>
  <c r="X159" i="1"/>
  <c r="X224" i="1" s="1"/>
  <c r="T191" i="1"/>
  <c r="U191" i="1" s="1"/>
  <c r="T190" i="1"/>
  <c r="U190" i="1" s="1"/>
  <c r="V190" i="1" s="1"/>
  <c r="W190" i="1" s="1"/>
  <c r="X190" i="1" s="1"/>
  <c r="Y190" i="1" s="1"/>
  <c r="T120" i="1"/>
  <c r="V120" i="1" s="1"/>
  <c r="V138" i="1" s="1"/>
  <c r="K283" i="1"/>
  <c r="J283" i="1"/>
  <c r="I283" i="1"/>
  <c r="H283" i="1"/>
  <c r="H247" i="1"/>
  <c r="G247" i="1"/>
  <c r="F247" i="1"/>
  <c r="H243" i="1"/>
  <c r="H245" i="1" s="1"/>
  <c r="H246" i="1" s="1"/>
  <c r="G243" i="1"/>
  <c r="G245" i="1" s="1"/>
  <c r="G246" i="1" s="1"/>
  <c r="F243" i="1"/>
  <c r="F245" i="1" s="1"/>
  <c r="F246" i="1" s="1"/>
  <c r="E247" i="1"/>
  <c r="E243" i="1"/>
  <c r="E245" i="1" s="1"/>
  <c r="E246" i="1" s="1"/>
  <c r="D247" i="1"/>
  <c r="D243" i="1"/>
  <c r="D245" i="1" s="1"/>
  <c r="D246" i="1" s="1"/>
  <c r="G231" i="1"/>
  <c r="H231" i="1"/>
  <c r="I231" i="1"/>
  <c r="J231" i="1"/>
  <c r="K231" i="1"/>
  <c r="G230" i="1"/>
  <c r="H230" i="1"/>
  <c r="I230" i="1"/>
  <c r="J230" i="1"/>
  <c r="K230" i="1"/>
  <c r="G229" i="1"/>
  <c r="H229" i="1"/>
  <c r="I229" i="1"/>
  <c r="J229" i="1"/>
  <c r="K229" i="1"/>
  <c r="G228" i="1"/>
  <c r="H228" i="1"/>
  <c r="I228" i="1"/>
  <c r="J228" i="1"/>
  <c r="K228" i="1"/>
  <c r="K227" i="1"/>
  <c r="K280" i="1" s="1"/>
  <c r="J227" i="1"/>
  <c r="J280" i="1" s="1"/>
  <c r="I227" i="1"/>
  <c r="I280" i="1" s="1"/>
  <c r="H227" i="1"/>
  <c r="H280" i="1" s="1"/>
  <c r="G227" i="1"/>
  <c r="G280" i="1" s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09" i="1"/>
  <c r="C209" i="1"/>
  <c r="C210" i="1" s="1"/>
  <c r="F183" i="1"/>
  <c r="F203" i="1" s="1"/>
  <c r="G183" i="1"/>
  <c r="G203" i="1" s="1"/>
  <c r="I85" i="1"/>
  <c r="J85" i="1" s="1"/>
  <c r="K85" i="1" s="1"/>
  <c r="L85" i="1" s="1"/>
  <c r="C84" i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AB163" i="1" l="1"/>
  <c r="AB144" i="1"/>
  <c r="AC144" i="1" s="1"/>
  <c r="AD144" i="1" s="1"/>
  <c r="AE144" i="1" s="1"/>
  <c r="AF144" i="1" s="1"/>
  <c r="T180" i="1"/>
  <c r="U182" i="1" s="1"/>
  <c r="U146" i="1"/>
  <c r="G146" i="1"/>
  <c r="G149" i="1" s="1"/>
  <c r="G152" i="1" s="1"/>
  <c r="X161" i="1"/>
  <c r="Y158" i="1" s="1"/>
  <c r="Y161" i="1" s="1"/>
  <c r="G135" i="1"/>
  <c r="G139" i="1" s="1"/>
  <c r="V139" i="1"/>
  <c r="X166" i="1"/>
  <c r="Y163" i="1" s="1"/>
  <c r="Y166" i="1" s="1"/>
  <c r="U167" i="1"/>
  <c r="AB137" i="1" s="1"/>
  <c r="V167" i="1"/>
  <c r="AC137" i="1" s="1"/>
  <c r="W167" i="1"/>
  <c r="AD137" i="1" s="1"/>
  <c r="W120" i="1"/>
  <c r="V191" i="1"/>
  <c r="U120" i="1"/>
  <c r="E209" i="1"/>
  <c r="G209" i="1" s="1"/>
  <c r="C211" i="1"/>
  <c r="E210" i="1"/>
  <c r="G210" i="1" s="1"/>
  <c r="G192" i="1"/>
  <c r="F192" i="1"/>
  <c r="G190" i="1"/>
  <c r="F190" i="1"/>
  <c r="F184" i="1"/>
  <c r="G188" i="1"/>
  <c r="G184" i="1"/>
  <c r="F188" i="1"/>
  <c r="G198" i="1"/>
  <c r="G186" i="1"/>
  <c r="U141" i="1" s="1"/>
  <c r="F198" i="1"/>
  <c r="F186" i="1"/>
  <c r="G196" i="1"/>
  <c r="G202" i="1"/>
  <c r="F196" i="1"/>
  <c r="F202" i="1"/>
  <c r="G194" i="1"/>
  <c r="G200" i="1"/>
  <c r="F194" i="1"/>
  <c r="F200" i="1"/>
  <c r="H183" i="1"/>
  <c r="G199" i="1"/>
  <c r="G197" i="1"/>
  <c r="G195" i="1"/>
  <c r="G193" i="1"/>
  <c r="G191" i="1"/>
  <c r="G189" i="1"/>
  <c r="G187" i="1"/>
  <c r="G185" i="1"/>
  <c r="G201" i="1"/>
  <c r="F199" i="1"/>
  <c r="F197" i="1"/>
  <c r="F195" i="1"/>
  <c r="F193" i="1"/>
  <c r="F191" i="1"/>
  <c r="F189" i="1"/>
  <c r="F187" i="1"/>
  <c r="F185" i="1"/>
  <c r="F201" i="1"/>
  <c r="V182" i="1" l="1"/>
  <c r="U222" i="1"/>
  <c r="T215" i="1"/>
  <c r="U215" i="1" s="1"/>
  <c r="U180" i="1"/>
  <c r="U181" i="1" s="1"/>
  <c r="G141" i="1"/>
  <c r="G143" i="1" s="1"/>
  <c r="X167" i="1"/>
  <c r="AE137" i="1" s="1"/>
  <c r="W191" i="1"/>
  <c r="Y167" i="1"/>
  <c r="AF137" i="1" s="1"/>
  <c r="U138" i="1"/>
  <c r="U139" i="1"/>
  <c r="W138" i="1"/>
  <c r="W139" i="1"/>
  <c r="X120" i="1"/>
  <c r="E211" i="1"/>
  <c r="G211" i="1" s="1"/>
  <c r="C212" i="1"/>
  <c r="I183" i="1"/>
  <c r="H192" i="1"/>
  <c r="H203" i="1"/>
  <c r="H201" i="1"/>
  <c r="H185" i="1"/>
  <c r="V141" i="1" s="1"/>
  <c r="H187" i="1"/>
  <c r="H189" i="1"/>
  <c r="H191" i="1"/>
  <c r="H193" i="1"/>
  <c r="H195" i="1"/>
  <c r="H197" i="1"/>
  <c r="H199" i="1"/>
  <c r="H200" i="1"/>
  <c r="H202" i="1"/>
  <c r="H186" i="1"/>
  <c r="H188" i="1"/>
  <c r="H190" i="1"/>
  <c r="H194" i="1"/>
  <c r="H196" i="1"/>
  <c r="H198" i="1"/>
  <c r="H184" i="1"/>
  <c r="V136" i="1" l="1"/>
  <c r="V137" i="1" s="1"/>
  <c r="W182" i="1"/>
  <c r="V222" i="1"/>
  <c r="U183" i="1"/>
  <c r="AB127" i="1"/>
  <c r="X191" i="1"/>
  <c r="X138" i="1"/>
  <c r="X139" i="1"/>
  <c r="W136" i="1"/>
  <c r="U137" i="1"/>
  <c r="Y120" i="1"/>
  <c r="E212" i="1"/>
  <c r="G212" i="1" s="1"/>
  <c r="C213" i="1"/>
  <c r="J183" i="1"/>
  <c r="I203" i="1"/>
  <c r="I185" i="1"/>
  <c r="I197" i="1"/>
  <c r="I184" i="1"/>
  <c r="I188" i="1"/>
  <c r="I198" i="1"/>
  <c r="I201" i="1"/>
  <c r="I187" i="1"/>
  <c r="I189" i="1"/>
  <c r="I191" i="1"/>
  <c r="I193" i="1"/>
  <c r="I195" i="1"/>
  <c r="I199" i="1"/>
  <c r="I200" i="1"/>
  <c r="I202" i="1"/>
  <c r="I186" i="1"/>
  <c r="W141" i="1" s="1"/>
  <c r="I190" i="1"/>
  <c r="I192" i="1"/>
  <c r="I194" i="1"/>
  <c r="I196" i="1"/>
  <c r="V180" i="1" l="1"/>
  <c r="AB143" i="1"/>
  <c r="X182" i="1"/>
  <c r="W222" i="1"/>
  <c r="Y191" i="1"/>
  <c r="V140" i="1"/>
  <c r="V147" i="1"/>
  <c r="V172" i="1" s="1"/>
  <c r="V174" i="1" s="1"/>
  <c r="AC140" i="1" s="1"/>
  <c r="U140" i="1"/>
  <c r="U147" i="1"/>
  <c r="Y138" i="1"/>
  <c r="Y139" i="1"/>
  <c r="X136" i="1"/>
  <c r="W137" i="1"/>
  <c r="E213" i="1"/>
  <c r="G213" i="1" s="1"/>
  <c r="C214" i="1"/>
  <c r="K183" i="1"/>
  <c r="J185" i="1"/>
  <c r="J197" i="1"/>
  <c r="J202" i="1"/>
  <c r="J194" i="1"/>
  <c r="J203" i="1"/>
  <c r="J201" i="1"/>
  <c r="J187" i="1"/>
  <c r="X141" i="1" s="1"/>
  <c r="J189" i="1"/>
  <c r="J191" i="1"/>
  <c r="J193" i="1"/>
  <c r="J195" i="1"/>
  <c r="J199" i="1"/>
  <c r="J184" i="1"/>
  <c r="J200" i="1"/>
  <c r="J186" i="1"/>
  <c r="J188" i="1"/>
  <c r="J190" i="1"/>
  <c r="J192" i="1"/>
  <c r="J196" i="1"/>
  <c r="J198" i="1"/>
  <c r="Y182" i="1" l="1"/>
  <c r="Y222" i="1" s="1"/>
  <c r="X222" i="1"/>
  <c r="V181" i="1"/>
  <c r="AC127" i="1" s="1"/>
  <c r="U148" i="1"/>
  <c r="U172" i="1"/>
  <c r="W140" i="1"/>
  <c r="W147" i="1"/>
  <c r="W172" i="1" s="1"/>
  <c r="W174" i="1" s="1"/>
  <c r="AD140" i="1" s="1"/>
  <c r="Y136" i="1"/>
  <c r="Y137" i="1" s="1"/>
  <c r="X137" i="1"/>
  <c r="E214" i="1"/>
  <c r="G214" i="1" s="1"/>
  <c r="C215" i="1"/>
  <c r="K201" i="1"/>
  <c r="K195" i="1"/>
  <c r="K202" i="1"/>
  <c r="K194" i="1"/>
  <c r="K203" i="1"/>
  <c r="K185" i="1"/>
  <c r="K187" i="1"/>
  <c r="K189" i="1"/>
  <c r="K191" i="1"/>
  <c r="K193" i="1"/>
  <c r="K197" i="1"/>
  <c r="K199" i="1"/>
  <c r="K184" i="1"/>
  <c r="K200" i="1"/>
  <c r="K186" i="1"/>
  <c r="K188" i="1"/>
  <c r="Y141" i="1" s="1"/>
  <c r="K190" i="1"/>
  <c r="K192" i="1"/>
  <c r="K196" i="1"/>
  <c r="K198" i="1"/>
  <c r="V183" i="1" l="1"/>
  <c r="W180" i="1" s="1"/>
  <c r="U149" i="1"/>
  <c r="U151" i="1" s="1"/>
  <c r="AB122" i="1"/>
  <c r="U174" i="1"/>
  <c r="X140" i="1"/>
  <c r="X147" i="1"/>
  <c r="X172" i="1" s="1"/>
  <c r="X174" i="1" s="1"/>
  <c r="AE140" i="1" s="1"/>
  <c r="Y147" i="1"/>
  <c r="Y172" i="1" s="1"/>
  <c r="Y174" i="1" s="1"/>
  <c r="AF140" i="1" s="1"/>
  <c r="Y140" i="1"/>
  <c r="E215" i="1"/>
  <c r="G215" i="1" s="1"/>
  <c r="C216" i="1"/>
  <c r="T121" i="1" s="1"/>
  <c r="U121" i="1" s="1"/>
  <c r="V146" i="1" l="1"/>
  <c r="V148" i="1" s="1"/>
  <c r="AC122" i="1" s="1"/>
  <c r="AB136" i="1"/>
  <c r="AC143" i="1"/>
  <c r="U173" i="1"/>
  <c r="AB140" i="1"/>
  <c r="W181" i="1"/>
  <c r="AD127" i="1" s="1"/>
  <c r="V121" i="1"/>
  <c r="U122" i="1"/>
  <c r="U125" i="1" s="1"/>
  <c r="E216" i="1"/>
  <c r="G216" i="1" s="1"/>
  <c r="C217" i="1"/>
  <c r="W183" i="1" l="1"/>
  <c r="X180" i="1" s="1"/>
  <c r="V149" i="1"/>
  <c r="W146" i="1" s="1"/>
  <c r="W148" i="1" s="1"/>
  <c r="AB121" i="1"/>
  <c r="AB123" i="1" s="1"/>
  <c r="U202" i="1"/>
  <c r="U175" i="1"/>
  <c r="U218" i="1"/>
  <c r="V127" i="1"/>
  <c r="U126" i="1"/>
  <c r="U192" i="1"/>
  <c r="U193" i="1"/>
  <c r="W121" i="1"/>
  <c r="V122" i="1"/>
  <c r="V125" i="1" s="1"/>
  <c r="E217" i="1"/>
  <c r="G217" i="1" s="1"/>
  <c r="C218" i="1"/>
  <c r="AD143" i="1" l="1"/>
  <c r="AC136" i="1"/>
  <c r="V151" i="1"/>
  <c r="U220" i="1"/>
  <c r="U128" i="1"/>
  <c r="U217" i="1"/>
  <c r="AC121" i="1"/>
  <c r="AC123" i="1" s="1"/>
  <c r="V202" i="1"/>
  <c r="X181" i="1"/>
  <c r="AE127" i="1" s="1"/>
  <c r="W149" i="1"/>
  <c r="AD122" i="1"/>
  <c r="AB125" i="1"/>
  <c r="AB126" i="1" s="1"/>
  <c r="AB128" i="1" s="1"/>
  <c r="U194" i="1"/>
  <c r="V195" i="1"/>
  <c r="V126" i="1"/>
  <c r="W127" i="1"/>
  <c r="F250" i="1"/>
  <c r="H135" i="1" s="1"/>
  <c r="V192" i="1"/>
  <c r="V193" i="1"/>
  <c r="X121" i="1"/>
  <c r="W122" i="1"/>
  <c r="W125" i="1" s="1"/>
  <c r="C219" i="1"/>
  <c r="E218" i="1"/>
  <c r="G218" i="1" s="1"/>
  <c r="X183" i="1" l="1"/>
  <c r="Y180" i="1" s="1"/>
  <c r="W151" i="1"/>
  <c r="AD136" i="1"/>
  <c r="X146" i="1"/>
  <c r="X148" i="1" s="1"/>
  <c r="AE122" i="1" s="1"/>
  <c r="U196" i="1"/>
  <c r="AB141" i="1" s="1"/>
  <c r="U219" i="1"/>
  <c r="U227" i="1" s="1"/>
  <c r="AB134" i="1" s="1"/>
  <c r="AD121" i="1"/>
  <c r="AD123" i="1" s="1"/>
  <c r="W202" i="1"/>
  <c r="AB129" i="1"/>
  <c r="U201" i="1" s="1"/>
  <c r="V217" i="1"/>
  <c r="V124" i="1"/>
  <c r="V128" i="1" s="1"/>
  <c r="AB135" i="1"/>
  <c r="AC125" i="1"/>
  <c r="AC126" i="1" s="1"/>
  <c r="AC128" i="1" s="1"/>
  <c r="V194" i="1"/>
  <c r="V219" i="1" s="1"/>
  <c r="W195" i="1"/>
  <c r="X127" i="1"/>
  <c r="W126" i="1"/>
  <c r="W192" i="1"/>
  <c r="W193" i="1"/>
  <c r="Y121" i="1"/>
  <c r="Y122" i="1" s="1"/>
  <c r="Y125" i="1" s="1"/>
  <c r="Y202" i="1" s="1"/>
  <c r="X122" i="1"/>
  <c r="X125" i="1" s="1"/>
  <c r="C220" i="1"/>
  <c r="E219" i="1"/>
  <c r="G219" i="1" s="1"/>
  <c r="AB138" i="1" l="1"/>
  <c r="AE143" i="1"/>
  <c r="X149" i="1"/>
  <c r="X151" i="1" s="1"/>
  <c r="U204" i="1"/>
  <c r="V200" i="1" s="1"/>
  <c r="AB130" i="1"/>
  <c r="U209" i="1" s="1"/>
  <c r="U211" i="1" s="1"/>
  <c r="AB145" i="1" s="1"/>
  <c r="AC129" i="1"/>
  <c r="V201" i="1" s="1"/>
  <c r="V210" i="1"/>
  <c r="V225" i="1" s="1"/>
  <c r="AE121" i="1"/>
  <c r="AE123" i="1" s="1"/>
  <c r="X202" i="1"/>
  <c r="W124" i="1"/>
  <c r="W128" i="1" s="1"/>
  <c r="AC135" i="1"/>
  <c r="W217" i="1"/>
  <c r="V187" i="1"/>
  <c r="V196" i="1" s="1"/>
  <c r="AC141" i="1" s="1"/>
  <c r="Y181" i="1"/>
  <c r="AF127" i="1" s="1"/>
  <c r="AD125" i="1"/>
  <c r="AD126" i="1" s="1"/>
  <c r="AD128" i="1" s="1"/>
  <c r="Y126" i="1"/>
  <c r="AF121" i="1"/>
  <c r="W194" i="1"/>
  <c r="W219" i="1" s="1"/>
  <c r="X195" i="1"/>
  <c r="Y127" i="1"/>
  <c r="X126" i="1"/>
  <c r="X193" i="1"/>
  <c r="X192" i="1"/>
  <c r="Y193" i="1"/>
  <c r="Y192" i="1"/>
  <c r="C221" i="1"/>
  <c r="E220" i="1"/>
  <c r="G220" i="1" s="1"/>
  <c r="Y183" i="1" l="1"/>
  <c r="AF143" i="1" s="1"/>
  <c r="Y146" i="1"/>
  <c r="AE136" i="1"/>
  <c r="AB142" i="1"/>
  <c r="AB146" i="1" s="1"/>
  <c r="AB147" i="1" s="1"/>
  <c r="V203" i="1"/>
  <c r="V220" i="1" s="1"/>
  <c r="AC130" i="1"/>
  <c r="V209" i="1" s="1"/>
  <c r="W210" i="1" s="1"/>
  <c r="W225" i="1" s="1"/>
  <c r="X124" i="1"/>
  <c r="X128" i="1" s="1"/>
  <c r="AD135" i="1"/>
  <c r="AD129" i="1"/>
  <c r="W201" i="1" s="1"/>
  <c r="X217" i="1"/>
  <c r="W187" i="1"/>
  <c r="W196" i="1" s="1"/>
  <c r="Y217" i="1"/>
  <c r="Y194" i="1"/>
  <c r="AF125" i="1"/>
  <c r="AE125" i="1"/>
  <c r="AE126" i="1" s="1"/>
  <c r="AE128" i="1" s="1"/>
  <c r="Y195" i="1"/>
  <c r="X194" i="1"/>
  <c r="X219" i="1" s="1"/>
  <c r="C222" i="1"/>
  <c r="E221" i="1"/>
  <c r="G221" i="1" s="1"/>
  <c r="AD130" i="1" l="1"/>
  <c r="W209" i="1" s="1"/>
  <c r="X210" i="1" s="1"/>
  <c r="X225" i="1" s="1"/>
  <c r="Y148" i="1"/>
  <c r="AF122" i="1" s="1"/>
  <c r="AF123" i="1" s="1"/>
  <c r="AF126" i="1" s="1"/>
  <c r="AF128" i="1" s="1"/>
  <c r="V204" i="1"/>
  <c r="AC142" i="1" s="1"/>
  <c r="Y219" i="1"/>
  <c r="X187" i="1"/>
  <c r="X196" i="1" s="1"/>
  <c r="AE141" i="1" s="1"/>
  <c r="AD141" i="1"/>
  <c r="AE129" i="1"/>
  <c r="X201" i="1" s="1"/>
  <c r="AE130" i="1"/>
  <c r="X209" i="1" s="1"/>
  <c r="Y210" i="1" s="1"/>
  <c r="Y225" i="1" s="1"/>
  <c r="Y124" i="1"/>
  <c r="Y128" i="1" s="1"/>
  <c r="AF135" i="1" s="1"/>
  <c r="AE135" i="1"/>
  <c r="C223" i="1"/>
  <c r="E222" i="1"/>
  <c r="G222" i="1" s="1"/>
  <c r="Y149" i="1" l="1"/>
  <c r="Y151" i="1" s="1"/>
  <c r="AF129" i="1"/>
  <c r="Y201" i="1" s="1"/>
  <c r="W203" i="1"/>
  <c r="W220" i="1" s="1"/>
  <c r="W200" i="1"/>
  <c r="Y187" i="1"/>
  <c r="Y196" i="1" s="1"/>
  <c r="AF141" i="1" s="1"/>
  <c r="C224" i="1"/>
  <c r="E224" i="1" s="1"/>
  <c r="G224" i="1" s="1"/>
  <c r="E223" i="1"/>
  <c r="G223" i="1" s="1"/>
  <c r="AF130" i="1" l="1"/>
  <c r="Y209" i="1" s="1"/>
  <c r="AF136" i="1"/>
  <c r="W204" i="1"/>
  <c r="AD142" i="1" s="1"/>
  <c r="H224" i="1"/>
  <c r="G281" i="1" s="1"/>
  <c r="G282" i="1" s="1"/>
  <c r="X203" i="1" l="1"/>
  <c r="X220" i="1" s="1"/>
  <c r="X200" i="1"/>
  <c r="I281" i="1"/>
  <c r="H281" i="1"/>
  <c r="J281" i="1"/>
  <c r="K281" i="1"/>
  <c r="X204" i="1" l="1"/>
  <c r="AE142" i="1" s="1"/>
  <c r="K282" i="1"/>
  <c r="K286" i="1"/>
  <c r="J282" i="1"/>
  <c r="J286" i="1"/>
  <c r="G286" i="1"/>
  <c r="H282" i="1"/>
  <c r="H286" i="1"/>
  <c r="I282" i="1"/>
  <c r="I286" i="1"/>
  <c r="V171" i="1"/>
  <c r="Y203" i="1" l="1"/>
  <c r="Y220" i="1" s="1"/>
  <c r="Y200" i="1"/>
  <c r="V173" i="1"/>
  <c r="W171" i="1"/>
  <c r="Y204" i="1" l="1"/>
  <c r="AF142" i="1" s="1"/>
  <c r="V175" i="1"/>
  <c r="V218" i="1"/>
  <c r="W173" i="1"/>
  <c r="X171" i="1"/>
  <c r="X173" i="1" s="1"/>
  <c r="X175" i="1" l="1"/>
  <c r="X218" i="1"/>
  <c r="W175" i="1"/>
  <c r="W218" i="1"/>
  <c r="Y171" i="1"/>
  <c r="Y173" i="1" s="1"/>
  <c r="V208" i="1"/>
  <c r="V211" i="1" s="1"/>
  <c r="AC145" i="1" s="1"/>
  <c r="AC146" i="1" s="1"/>
  <c r="Y175" i="1" l="1"/>
  <c r="Y218" i="1"/>
  <c r="W208" i="1"/>
  <c r="W211" i="1" s="1"/>
  <c r="AD145" i="1" s="1"/>
  <c r="AD146" i="1" s="1"/>
  <c r="X208" i="1" l="1"/>
  <c r="X211" i="1" s="1"/>
  <c r="AE145" i="1" s="1"/>
  <c r="AE146" i="1" s="1"/>
  <c r="Y208" i="1" l="1"/>
  <c r="Y211" i="1" s="1"/>
  <c r="AF145" i="1" s="1"/>
  <c r="AF146" i="1" s="1"/>
  <c r="V215" i="1"/>
  <c r="V227" i="1" s="1"/>
  <c r="W215" i="1" l="1"/>
  <c r="W227" i="1" s="1"/>
  <c r="AC134" i="1"/>
  <c r="AC138" i="1" s="1"/>
  <c r="AC147" i="1" s="1"/>
  <c r="X215" i="1" l="1"/>
  <c r="X227" i="1" s="1"/>
  <c r="AD134" i="1"/>
  <c r="AD138" i="1" s="1"/>
  <c r="AD147" i="1" s="1"/>
  <c r="Y215" i="1" l="1"/>
  <c r="Y227" i="1" s="1"/>
  <c r="AF134" i="1" s="1"/>
  <c r="AF138" i="1" s="1"/>
  <c r="AF147" i="1" s="1"/>
  <c r="AE134" i="1"/>
  <c r="AE138" i="1" s="1"/>
  <c r="AE147" i="1" s="1"/>
</calcChain>
</file>

<file path=xl/sharedStrings.xml><?xml version="1.0" encoding="utf-8"?>
<sst xmlns="http://schemas.openxmlformats.org/spreadsheetml/2006/main" count="554" uniqueCount="340">
  <si>
    <t>PROYECCIONES DE LOS ESTADOS FINANCIEROS</t>
  </si>
  <si>
    <t>1.- Una mirada hacia el futuro (looking forward)</t>
  </si>
  <si>
    <t>Al Gerente Financiero le interesa saber :</t>
  </si>
  <si>
    <t xml:space="preserve">Sobre qué puede actuar, </t>
  </si>
  <si>
    <t>Cuáles pueden ser las consecuencias de sus acciones</t>
  </si>
  <si>
    <t xml:space="preserve">Qué medidas tomar para evitar situaciones indeseables. </t>
  </si>
  <si>
    <t xml:space="preserve">El pasado es inmodificable y sólo se puede aprender de él. </t>
  </si>
  <si>
    <t>El futuro es incierto y se necesita estimar los eventos posibles para saber cuáles pueden ser las consecuencias de una decisión.</t>
  </si>
  <si>
    <t>La tarea cotidiana del gerente es tomar decisiones con implicaciones futuras.</t>
  </si>
  <si>
    <t>2.- Métodos de Pronóstico</t>
  </si>
  <si>
    <t>Recuerda el Oráculo de Delfos?</t>
  </si>
  <si>
    <t>La Humanidad ha tratado siempre de predecir el futuro.</t>
  </si>
  <si>
    <t xml:space="preserve">Desearía sin duda, tener, como Aureliano Buendía, los pergaminos de Melquíades que les describieran hoja por hoja, </t>
  </si>
  <si>
    <t>día por día, las consecuencias de sus decisiones del momento</t>
  </si>
  <si>
    <t xml:space="preserve">Para analizar decisiones de inversión, es necesario hacer estimativos de muy diversas variables: precios, tasas de interés, </t>
  </si>
  <si>
    <t xml:space="preserve">volúmenes de venta o de producción, políticas y metas, etc., por lo tanto, es necesario que el analista conozca, por lo menos </t>
  </si>
  <si>
    <t>la existencia de ciertas técnicas, que le ayuden en esta tarea.</t>
  </si>
  <si>
    <t>Clases de modelos:</t>
  </si>
  <si>
    <t>Causales</t>
  </si>
  <si>
    <t>Series de tiempo</t>
  </si>
  <si>
    <t xml:space="preserve">tratan de encontrar las relaciones de causalidad - causa y efecto - entre diferentes variables, de manera que conociendo </t>
  </si>
  <si>
    <t>o prediciendo alguna o algunas de ellas, se pueda encontrar el valor de otra.</t>
  </si>
  <si>
    <t>se requiere solamente encontrar los posibles valores que asumirá una determinada variable</t>
  </si>
  <si>
    <t>comportamiento histórico  se mantendrá hacia el futuro y sobre esta base, hacer los estimativos.</t>
  </si>
  <si>
    <t xml:space="preserve">Siempre se hace uso de la información histórica, ya sea para predecir el comportamiento futuro o para suponer que el </t>
  </si>
  <si>
    <t>Características</t>
  </si>
  <si>
    <t>No existe ningún método de pronóstico infalible</t>
  </si>
  <si>
    <t>Las decisiones del mercado están compuestas por muchísimas decisiones individuales, imposibles de predecir con exactitud.</t>
  </si>
  <si>
    <t>La mayoría de los datos, incluyen combinaciones de tendencias</t>
  </si>
  <si>
    <t>3.- Estados Financieros proyectados</t>
  </si>
  <si>
    <t>Regresión lineal (negocios con experiencia)</t>
  </si>
  <si>
    <t>Proyecciones (nuevos negocios)</t>
  </si>
  <si>
    <t>Preparar estados financieros pro forma</t>
  </si>
  <si>
    <t>Análisis de sensibilidad</t>
  </si>
  <si>
    <t xml:space="preserve">Con Excel se puede utilizar la opción Búsqueda de Objetivo para determinar los valores de una variable </t>
  </si>
  <si>
    <t>Al disponer de una hoja de cálculo, se puede “jugar” con las cifras</t>
  </si>
  <si>
    <t>que produzca un determinado valor de Utilidad neta</t>
  </si>
  <si>
    <t>*</t>
  </si>
  <si>
    <t>4.- Información básica, metas y políticas</t>
  </si>
  <si>
    <t>Recolectar información sobre:</t>
  </si>
  <si>
    <t>Volumenes de compras y venta</t>
  </si>
  <si>
    <t>Precios de compra y venta</t>
  </si>
  <si>
    <t>Elasticidad de la demandas</t>
  </si>
  <si>
    <t>Inflación</t>
  </si>
  <si>
    <t>Tasa de interés</t>
  </si>
  <si>
    <t>Definir metas sobre:</t>
  </si>
  <si>
    <t>Políticas de depreciación</t>
  </si>
  <si>
    <t>Rotación de inventarios</t>
  </si>
  <si>
    <t>Rotación de cuentas por cobrar</t>
  </si>
  <si>
    <t>Rotación de cuentas por pagar</t>
  </si>
  <si>
    <t>Repago de deudas</t>
  </si>
  <si>
    <t>Politica de dividendos</t>
  </si>
  <si>
    <t>Nivel de liquidez</t>
  </si>
  <si>
    <t xml:space="preserve">5.- Mucho orden </t>
  </si>
  <si>
    <t>Estructura de la hoja de cálculo: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</si>
  <si>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</si>
  <si>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</si>
  <si>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</si>
  <si>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</si>
  <si>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</si>
  <si>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</si>
  <si>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</si>
  <si>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</si>
  <si>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</si>
  <si>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Area de Imputs:</t>
  </si>
  <si>
    <t>Metas</t>
  </si>
  <si>
    <t>Políticas</t>
  </si>
  <si>
    <t>Area Outputs:</t>
  </si>
  <si>
    <t>Año 1</t>
  </si>
  <si>
    <t>Año 2</t>
  </si>
  <si>
    <t>Año 3</t>
  </si>
  <si>
    <t>Ventas</t>
  </si>
  <si>
    <t>Costo de ventas</t>
  </si>
  <si>
    <t>Gastos de personal</t>
  </si>
  <si>
    <t>:</t>
  </si>
  <si>
    <t>Utilidad</t>
  </si>
  <si>
    <t>Año 4</t>
  </si>
  <si>
    <t>cantidad</t>
  </si>
  <si>
    <t>precio</t>
  </si>
  <si>
    <t>crecimiento</t>
  </si>
  <si>
    <t>6.- Flujos de efectivo</t>
  </si>
  <si>
    <t>Cobranzas</t>
  </si>
  <si>
    <t>Pagos</t>
  </si>
  <si>
    <t>Cobros a clientes</t>
  </si>
  <si>
    <t>Préstamos de bancos</t>
  </si>
  <si>
    <t>Aporte de accionistas</t>
  </si>
  <si>
    <t>Cobro por venta de PPE</t>
  </si>
  <si>
    <t>Cobro de intereses</t>
  </si>
  <si>
    <t>Anticipo de clientes</t>
  </si>
  <si>
    <t>Pago a proveedores</t>
  </si>
  <si>
    <t>Pago a empleados</t>
  </si>
  <si>
    <t>Pago de deudas (principal e intereses)</t>
  </si>
  <si>
    <t>Pago de arriendos</t>
  </si>
  <si>
    <t>Pago de servicios públicos</t>
  </si>
  <si>
    <t>Pago de publicidad</t>
  </si>
  <si>
    <t>Pago por compra de PPE</t>
  </si>
  <si>
    <t>Pago de impuesto a la renta</t>
  </si>
  <si>
    <t>Pago de dividendos</t>
  </si>
  <si>
    <t>Cuestiones</t>
  </si>
  <si>
    <t>¿cuándo se necesita el dinero?</t>
  </si>
  <si>
    <t xml:space="preserve">¿Cuánto se necesita? </t>
  </si>
  <si>
    <t xml:space="preserve">¿Se puede obtener agilizando la cartera? </t>
  </si>
  <si>
    <t>¿Posponiendo pagos?</t>
  </si>
  <si>
    <t xml:space="preserve">¿Renegociando obligaciones con los bancos? </t>
  </si>
  <si>
    <t>¿Se pueden aumentar las ventas ?</t>
  </si>
  <si>
    <t xml:space="preserve"> ¿Hasta cuánto se pueden aumentar las vtas?</t>
  </si>
  <si>
    <t>Componentes del flujo de tesorería</t>
  </si>
  <si>
    <t xml:space="preserve">Módulo 1: Saldo operativo </t>
  </si>
  <si>
    <t>Módulo 2: Financiación externa</t>
  </si>
  <si>
    <t>Módulo3: Transacciones con el inversionista</t>
  </si>
  <si>
    <t>Módulo 4: transacciones discrecionales</t>
  </si>
  <si>
    <t>Caso 1:</t>
  </si>
  <si>
    <t>Empresa comercializadora, compra y vende un producto.</t>
  </si>
  <si>
    <t>PPE</t>
  </si>
  <si>
    <t>Inventarios</t>
  </si>
  <si>
    <t>unidades</t>
  </si>
  <si>
    <t>$</t>
  </si>
  <si>
    <t>(vida útil 4 años)</t>
  </si>
  <si>
    <t>Capital social</t>
  </si>
  <si>
    <t>Cifras:</t>
  </si>
  <si>
    <t>Tasa impositiva</t>
  </si>
  <si>
    <t>Préstamo para cubrir la inversión en activos</t>
  </si>
  <si>
    <t>Los excedentes se invierten en la Bolsa</t>
  </si>
  <si>
    <t>Precio de compra</t>
  </si>
  <si>
    <t>Negocio nuevo:</t>
  </si>
  <si>
    <t>Gastos iniciales y tasas de crecimiento</t>
  </si>
  <si>
    <t>Año 0</t>
  </si>
  <si>
    <t>Año 5</t>
  </si>
  <si>
    <t>Prima de riesgo para la deuda</t>
  </si>
  <si>
    <t xml:space="preserve">Tasa de interés real </t>
  </si>
  <si>
    <t>Aumento de volumen</t>
  </si>
  <si>
    <t>Aumento real en precio de activos fijos</t>
  </si>
  <si>
    <t xml:space="preserve">Aumento real en nómina </t>
  </si>
  <si>
    <t xml:space="preserve">Aumento real de los gastos generales </t>
  </si>
  <si>
    <t>Aumento real de precios en costo unitario</t>
  </si>
  <si>
    <t>Aumento real de precios de ventas</t>
  </si>
  <si>
    <t>Tasa de inflación</t>
  </si>
  <si>
    <t xml:space="preserve">Gastos generales estimados a año 0 </t>
  </si>
  <si>
    <t xml:space="preserve">Nómina administrativa y de ventas </t>
  </si>
  <si>
    <t>Metas y políticas</t>
  </si>
  <si>
    <t>Comisiones de venta</t>
  </si>
  <si>
    <t>Publicidad y promoción</t>
  </si>
  <si>
    <t>Inventario</t>
  </si>
  <si>
    <t>Inventario (% sobre las ventas)</t>
  </si>
  <si>
    <t>% De cobranza</t>
  </si>
  <si>
    <t xml:space="preserve">Fracción crítica para reducción en ventas por pago de contado </t>
  </si>
  <si>
    <t xml:space="preserve">Fracción de reducción en ventas por aumento  de pago en efectivo fracción de cada punto  &gt;85% </t>
  </si>
  <si>
    <t>Porcentaje de facturas pagadas el mismo año</t>
  </si>
  <si>
    <t xml:space="preserve">Fracción de utilidades repartidas (Payout ratio) </t>
  </si>
  <si>
    <t xml:space="preserve">Saldo mínimo de caja </t>
  </si>
  <si>
    <t>Descuento en volúmen de compra</t>
  </si>
  <si>
    <t>Desde</t>
  </si>
  <si>
    <t>Hasta</t>
  </si>
  <si>
    <t>UN</t>
  </si>
  <si>
    <t>a mas</t>
  </si>
  <si>
    <t>Dcto</t>
  </si>
  <si>
    <t>…...............................................................</t>
  </si>
  <si>
    <t xml:space="preserve"> </t>
  </si>
  <si>
    <t>Precio</t>
  </si>
  <si>
    <t>venta</t>
  </si>
  <si>
    <t>Q</t>
  </si>
  <si>
    <t>Demandada</t>
  </si>
  <si>
    <t>Var</t>
  </si>
  <si>
    <t>P.V.</t>
  </si>
  <si>
    <t>Coeficiente de elasticidad</t>
  </si>
  <si>
    <t>*Variables controlables</t>
  </si>
  <si>
    <t>Políticas internas (niveles de inventario, rotación de pagos, etc)</t>
  </si>
  <si>
    <t>*Variables no controlables</t>
  </si>
  <si>
    <t>Tasas de inflación, tasas de interés</t>
  </si>
  <si>
    <t>Se pueden analizar con herramientas de escenarios o análisis de sensibilidad</t>
  </si>
  <si>
    <t>Aumentos nominales de precios y de costos</t>
  </si>
  <si>
    <t>Aumento nominal de precios de ventas</t>
  </si>
  <si>
    <t>Aumento nominal de precios en costo unitario</t>
  </si>
  <si>
    <t xml:space="preserve">Aumento nominal de los gastos generales </t>
  </si>
  <si>
    <t xml:space="preserve">Aumento nominal en nómina </t>
  </si>
  <si>
    <t>Aumento nominal en precio de activos fijos</t>
  </si>
  <si>
    <t xml:space="preserve">Para determinar los costos y los precios de productos e insumos debemos calcular los </t>
  </si>
  <si>
    <t xml:space="preserve">aumentos  de precios nominales o  corrientes. Para eso utilizamos los aumentos reales </t>
  </si>
  <si>
    <t xml:space="preserve">de precios  y la tasa de inflación. La relación entre los aumentos de precios nominales y </t>
  </si>
  <si>
    <t xml:space="preserve">reales es la siguiente: </t>
  </si>
  <si>
    <t xml:space="preserve">    aumento nominal     =  (1 + tasa de inflación)(1 + tasa real de aumento) - 1</t>
  </si>
  <si>
    <t xml:space="preserve">(1 + aumento nominal) =  (1 + tasa de inflación)(1 + tasa real de aumento) </t>
  </si>
  <si>
    <t>Esc 1</t>
  </si>
  <si>
    <t>Esc 2</t>
  </si>
  <si>
    <t>Esc 3</t>
  </si>
  <si>
    <t>Esc 4</t>
  </si>
  <si>
    <t>Esc 5</t>
  </si>
  <si>
    <t>Inflación ajustado por inflación</t>
  </si>
  <si>
    <t>Incremento gerencia</t>
  </si>
  <si>
    <t>Precio de lista</t>
  </si>
  <si>
    <t xml:space="preserve">Incremento nominal </t>
  </si>
  <si>
    <t xml:space="preserve"> Simulación de la elasticidad precio demanda y </t>
  </si>
  <si>
    <t>esfuerzo de mercado</t>
  </si>
  <si>
    <t xml:space="preserve">Aumento real de precio de venta = </t>
  </si>
  <si>
    <t xml:space="preserve">(1+ aumento nominal)/(1+ tasa de inflación)-1 </t>
  </si>
  <si>
    <t>(A)</t>
  </si>
  <si>
    <t>Elasticidad</t>
  </si>
  <si>
    <t>Factor de ajuste</t>
  </si>
  <si>
    <t>(1 + aumento  en volumen)</t>
  </si>
  <si>
    <t xml:space="preserve">1+ aumento neto en la demanda como el esfuerzo </t>
  </si>
  <si>
    <t>de mercado cartera y la elasticidad</t>
  </si>
  <si>
    <t>(1 + aumento  en volumen) x (1 + elasticidad)</t>
  </si>
  <si>
    <t>Unidades vendidas</t>
  </si>
  <si>
    <t>Cifras proyectadas</t>
  </si>
  <si>
    <t>Precio unitario</t>
  </si>
  <si>
    <t>Facturación (ventas)</t>
  </si>
  <si>
    <t>Gastos generales</t>
  </si>
  <si>
    <t>Saldo minimo de efectivo</t>
  </si>
  <si>
    <t>Tasa de rendimiento de inversiones</t>
  </si>
  <si>
    <t>Tasa de deuda financiera</t>
  </si>
  <si>
    <t>Precio de PPE</t>
  </si>
  <si>
    <t>Proyección de PPE:</t>
  </si>
  <si>
    <t>Costo -</t>
  </si>
  <si>
    <t>saldo inicial</t>
  </si>
  <si>
    <t>saldo final</t>
  </si>
  <si>
    <t>Depreciación acumulada</t>
  </si>
  <si>
    <t>(en unidades)</t>
  </si>
  <si>
    <t>{A}</t>
  </si>
  <si>
    <t>{B}</t>
  </si>
  <si>
    <t>{C}</t>
  </si>
  <si>
    <t>{B+C-A}</t>
  </si>
  <si>
    <t>checkpoint</t>
  </si>
  <si>
    <t>Costo unitario de compra</t>
  </si>
  <si>
    <t>(se podrá automatizar?)</t>
  </si>
  <si>
    <t>Saldos del inventario</t>
  </si>
  <si>
    <t>Costo unitario (promedio ponderado)</t>
  </si>
  <si>
    <t>Gasto de administración y ventas</t>
  </si>
  <si>
    <t>Pago de nómina</t>
  </si>
  <si>
    <t>Efectivo en el año 0</t>
  </si>
  <si>
    <t>Saldo inicial del efectivo</t>
  </si>
  <si>
    <t>(+)Aporte de accionistas</t>
  </si>
  <si>
    <t>(-) Compra de PPE</t>
  </si>
  <si>
    <t>(-) Compra de inventario</t>
  </si>
  <si>
    <t>Saldo final del efectivo</t>
  </si>
  <si>
    <t xml:space="preserve">(+) Préstamo de largo plazo 1 LP </t>
  </si>
  <si>
    <t>Saldo de inicio de negocio</t>
  </si>
  <si>
    <t>Saldo inicial</t>
  </si>
  <si>
    <t>(+) Gasto financiero</t>
  </si>
  <si>
    <t>(-) Pagos</t>
  </si>
  <si>
    <t>Saldo final</t>
  </si>
  <si>
    <t>Balance de apertura</t>
  </si>
  <si>
    <t>Efectivo</t>
  </si>
  <si>
    <t>Proveedores</t>
  </si>
  <si>
    <t>Pasivo financiero</t>
  </si>
  <si>
    <t>Activo corriente</t>
  </si>
  <si>
    <t xml:space="preserve">Total de activo </t>
  </si>
  <si>
    <t>Pasivo corriente</t>
  </si>
  <si>
    <t>Pasivo no corriente</t>
  </si>
  <si>
    <t>Total pasivo</t>
  </si>
  <si>
    <t>Total pasivo y patrimonio</t>
  </si>
  <si>
    <t>Patrimonio</t>
  </si>
  <si>
    <t>T=0</t>
  </si>
  <si>
    <t>(En $)</t>
  </si>
  <si>
    <t>(+) Compras</t>
  </si>
  <si>
    <t>(-) Costo de ventas (usando promedio ponderado)</t>
  </si>
  <si>
    <t>Tabla 1: VENTAS Y CUENTAS POR COBRAR</t>
  </si>
  <si>
    <t>(+) Ventas</t>
  </si>
  <si>
    <t>(-) Cobros del año</t>
  </si>
  <si>
    <t>(-) Cobros del año anterior</t>
  </si>
  <si>
    <t>Tabla 2: INVENTARIOS Y COSTO DE VENTAS</t>
  </si>
  <si>
    <t>Tabla 3: PROPIEDAD, PLANTA Y EQUIPO</t>
  </si>
  <si>
    <t>Tabla 4: PROVEEDORES POR PAGAR</t>
  </si>
  <si>
    <t>Compras en efectivo</t>
  </si>
  <si>
    <t>Adiciones</t>
  </si>
  <si>
    <t>Tabla 5: PASIVO FINANCIERO</t>
  </si>
  <si>
    <t>Tabla 6: OTROS PASIVOS</t>
  </si>
  <si>
    <t>Porcentaje de gastos de Adm y Vtas pagados</t>
  </si>
  <si>
    <t>Utilidad bruta</t>
  </si>
  <si>
    <t>Depreciación</t>
  </si>
  <si>
    <t>Gasto financiero</t>
  </si>
  <si>
    <t>Gastos GyA</t>
  </si>
  <si>
    <t>Utilidad operativa</t>
  </si>
  <si>
    <t>Utilidad antes de impuestos</t>
  </si>
  <si>
    <t>Impuesto a la renta</t>
  </si>
  <si>
    <t>Tabla 7: IMPUESTO A LA RENTA</t>
  </si>
  <si>
    <t>(+) Gasto del año</t>
  </si>
  <si>
    <t>(-) Pagos a cuenta</t>
  </si>
  <si>
    <t>Pagos a cuenta IR</t>
  </si>
  <si>
    <t>de las ventas</t>
  </si>
  <si>
    <t>de las utilidad</t>
  </si>
  <si>
    <t>(-) Pago de regularización</t>
  </si>
  <si>
    <t>ESTADO DE RESULTADOS PROYECTADO</t>
  </si>
  <si>
    <t xml:space="preserve">(+) Utilidad </t>
  </si>
  <si>
    <t>(-) Pago de dividendo</t>
  </si>
  <si>
    <t>Tabla 9: EFECTIVO</t>
  </si>
  <si>
    <t>EFE01</t>
  </si>
  <si>
    <t>Compras</t>
  </si>
  <si>
    <t>EFE02</t>
  </si>
  <si>
    <t>Compra de PPE</t>
  </si>
  <si>
    <t>EFE03</t>
  </si>
  <si>
    <t>EFE04</t>
  </si>
  <si>
    <t>Pago de préstamo</t>
  </si>
  <si>
    <t>EFE05</t>
  </si>
  <si>
    <t>Pago de GAyV</t>
  </si>
  <si>
    <t>Pago de IR</t>
  </si>
  <si>
    <t>EFE06</t>
  </si>
  <si>
    <t>EFE07</t>
  </si>
  <si>
    <t>ESTADO DE SITUACION FINANCIERA</t>
  </si>
  <si>
    <t>Cuentas por cobrar</t>
  </si>
  <si>
    <t>Cuentas por pagar comerciales</t>
  </si>
  <si>
    <t>Cuentas por pagar diversas</t>
  </si>
  <si>
    <t>Impuestos por pagar</t>
  </si>
  <si>
    <t>Préstamo por pagar</t>
  </si>
  <si>
    <t>Resultados acumulados</t>
  </si>
  <si>
    <t>Tabla 8: RESULTADO ACUMULADO</t>
  </si>
  <si>
    <t>ESTADO DE FLUJOS DE EFECTIVO</t>
  </si>
  <si>
    <t>OPERACIÓN</t>
  </si>
  <si>
    <t>INVERSION</t>
  </si>
  <si>
    <t>FINANCIAMIENTO</t>
  </si>
  <si>
    <t>Pago de préstamos</t>
  </si>
  <si>
    <t>Movimiento del efectivo</t>
  </si>
  <si>
    <t>Checkpoint</t>
  </si>
  <si>
    <t>The benefits of best practice modelling</t>
  </si>
  <si>
    <t>A best practice model is:</t>
  </si>
  <si>
    <t>easy to use, so you can be more productive in using the model for analysis -</t>
  </si>
  <si>
    <t>rather than struggling just to produce simple results from a badly designed</t>
  </si>
  <si>
    <t>model;</t>
  </si>
  <si>
    <t>focussed on the important issues, so you do not waste your time in</t>
  </si>
  <si>
    <t>unnecessary development;</t>
  </si>
  <si>
    <t>easy to understand, by using a transparent design you can readily understand</t>
  </si>
  <si>
    <t>increasing your influence in negotiations.</t>
  </si>
  <si>
    <t xml:space="preserve">the effects that characterise the business problem – and understand them </t>
  </si>
  <si>
    <t>better than your competitors; and</t>
  </si>
  <si>
    <t xml:space="preserve">reliable, so that your model becomes the accepted tool for calculating results </t>
  </si>
  <si>
    <t>The six golden rules of spreadsheet design</t>
  </si>
  <si>
    <t>Rule 1: Separate inputs, calculations and results</t>
  </si>
  <si>
    <t>Rule 2: Use one formula per row or column</t>
  </si>
  <si>
    <t>As far as possible, formulae should be written so that a single formula can be copied across</t>
  </si>
  <si>
    <t>the entire row of calculations, or down the entire column.</t>
  </si>
  <si>
    <t>Rule 3: Refer to the left and above</t>
  </si>
  <si>
    <t>A well designed spreadsheet can be read like a book: from front to back, top to bottom and</t>
  </si>
  <si>
    <t>left to right. This makes the spreadsheet easier to understand and reduces the risk of</t>
  </si>
  <si>
    <t>introducing a circular reference to the calculation.</t>
  </si>
  <si>
    <t>Rule 4: Use multiple worksheets...</t>
  </si>
  <si>
    <t>1. For ease of expansion</t>
  </si>
  <si>
    <t>2. For repeatable blocks</t>
  </si>
  <si>
    <t>Rule 5: Use each column for the same purpose throughout the model</t>
  </si>
  <si>
    <t>However many worksheets you use, it is good practice to always use the same layout for</t>
  </si>
  <si>
    <t>columns on all worksheets.</t>
  </si>
  <si>
    <t>Rule 6: Include a documentation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</si>
</sst>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#,##0.000"/>
    <numFmt numFmtId="166" formatCode="_-* #,##0.000_-;\-* #,##0.000_-;_-* &quot;-&quot;??_-;_-@_-"/>
    <numFmt numFmtId="167" formatCode="_-* #,##0.0000_-;\-* #,##0.00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3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i/>
      <sz val="13"/>
      <color rgb="FFFF0000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i/>
      <sz val="13"/>
      <color theme="0"/>
      <name val="Calibri"/>
      <family val="2"/>
      <scheme val="minor"/>
    </font>
    <font>
      <b/>
      <i/>
      <sz val="1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4999847407452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5" fillId="3" borderId="0" xfId="0" applyFont="1" applyFill="1"/>
    <xf numFmtId="0" fontId="4" fillId="3" borderId="0" xfId="0" applyFont="1" applyFill="1"/>
    <xf numFmtId="0" fontId="6" fillId="0" borderId="0" xfId="0" applyFont="1"/>
    <xf numFmtId="0" fontId="6" fillId="4" borderId="0" xfId="0" applyFont="1" applyFill="1"/>
    <xf numFmtId="0" fontId="7" fillId="0" borderId="0" xfId="0" applyFont="1"/>
    <xf numFmtId="0" fontId="7" fillId="5" borderId="0" xfId="0" applyFont="1" applyFill="1"/>
    <xf numFmtId="0" fontId="8" fillId="6" borderId="0" xfId="0" applyFont="1" applyFill="1"/>
    <xf numFmtId="0" fontId="9" fillId="6" borderId="0" xfId="0" applyFont="1" applyFill="1"/>
    <xf numFmtId="0" fontId="6" fillId="4" borderId="0" xfId="0" applyFont="1" applyFill="1" applyAlignment="1">
      <alignment horizontal="right"/>
    </xf>
    <xf numFmtId="0" fontId="10" fillId="7" borderId="0" xfId="0" applyFont="1" applyFill="1"/>
    <xf numFmtId="0" fontId="10" fillId="7" borderId="0" xfId="0" applyFont="1" applyFill="1" applyAlignment="1">
      <alignment horizontal="center"/>
    </xf>
    <xf numFmtId="0" fontId="6" fillId="4" borderId="3" xfId="0" applyFont="1" applyFill="1" applyBorder="1"/>
    <xf numFmtId="0" fontId="6" fillId="4" borderId="8" xfId="0" applyFont="1" applyFill="1" applyBorder="1"/>
    <xf numFmtId="0" fontId="12" fillId="8" borderId="2" xfId="0" applyFont="1" applyFill="1" applyBorder="1"/>
    <xf numFmtId="0" fontId="12" fillId="8" borderId="3" xfId="0" applyFont="1" applyFill="1" applyBorder="1"/>
    <xf numFmtId="0" fontId="12" fillId="8" borderId="4" xfId="0" applyFont="1" applyFill="1" applyBorder="1"/>
    <xf numFmtId="0" fontId="12" fillId="9" borderId="2" xfId="0" applyFont="1" applyFill="1" applyBorder="1"/>
    <xf numFmtId="0" fontId="12" fillId="9" borderId="3" xfId="0" applyFont="1" applyFill="1" applyBorder="1"/>
    <xf numFmtId="0" fontId="12" fillId="9" borderId="4" xfId="0" applyFont="1" applyFill="1" applyBorder="1"/>
    <xf numFmtId="0" fontId="12" fillId="8" borderId="5" xfId="0" applyFont="1" applyFill="1" applyBorder="1"/>
    <xf numFmtId="0" fontId="12" fillId="8" borderId="0" xfId="0" applyFont="1" applyFill="1"/>
    <xf numFmtId="0" fontId="12" fillId="8" borderId="6" xfId="0" applyFont="1" applyFill="1" applyBorder="1"/>
    <xf numFmtId="0" fontId="12" fillId="9" borderId="5" xfId="0" applyFont="1" applyFill="1" applyBorder="1"/>
    <xf numFmtId="0" fontId="12" fillId="9" borderId="0" xfId="0" applyFont="1" applyFill="1"/>
    <xf numFmtId="0" fontId="12" fillId="9" borderId="0" xfId="0" applyFont="1" applyFill="1" applyAlignment="1">
      <alignment horizontal="center"/>
    </xf>
    <xf numFmtId="0" fontId="12" fillId="9" borderId="6" xfId="0" applyFont="1" applyFill="1" applyBorder="1" applyAlignment="1">
      <alignment horizontal="center"/>
    </xf>
    <xf numFmtId="0" fontId="12" fillId="9" borderId="6" xfId="0" applyFont="1" applyFill="1" applyBorder="1"/>
    <xf numFmtId="0" fontId="12" fillId="9" borderId="10" xfId="0" applyFont="1" applyFill="1" applyBorder="1"/>
    <xf numFmtId="0" fontId="12" fillId="9" borderId="11" xfId="0" applyFont="1" applyFill="1" applyBorder="1"/>
    <xf numFmtId="0" fontId="12" fillId="9" borderId="12" xfId="0" applyFont="1" applyFill="1" applyBorder="1"/>
    <xf numFmtId="0" fontId="12" fillId="8" borderId="7" xfId="0" applyFont="1" applyFill="1" applyBorder="1"/>
    <xf numFmtId="0" fontId="12" fillId="8" borderId="8" xfId="0" applyFont="1" applyFill="1" applyBorder="1"/>
    <xf numFmtId="0" fontId="12" fillId="8" borderId="9" xfId="0" applyFont="1" applyFill="1" applyBorder="1"/>
    <xf numFmtId="0" fontId="12" fillId="9" borderId="7" xfId="0" applyFont="1" applyFill="1" applyBorder="1"/>
    <xf numFmtId="0" fontId="12" fillId="9" borderId="8" xfId="0" applyFont="1" applyFill="1" applyBorder="1"/>
    <xf numFmtId="0" fontId="12" fillId="9" borderId="9" xfId="0" applyFont="1" applyFill="1" applyBorder="1"/>
    <xf numFmtId="0" fontId="12" fillId="8" borderId="5" xfId="0" applyFont="1" applyFill="1" applyBorder="1" applyAlignment="1">
      <alignment horizontal="left" indent="2"/>
    </xf>
    <xf numFmtId="9" fontId="12" fillId="8" borderId="0" xfId="0" applyNumberFormat="1" applyFont="1" applyFill="1"/>
    <xf numFmtId="164" fontId="12" fillId="9" borderId="0" xfId="1" applyNumberFormat="1" applyFont="1" applyFill="1" applyBorder="1"/>
    <xf numFmtId="164" fontId="12" fillId="9" borderId="6" xfId="1" applyNumberFormat="1" applyFont="1" applyFill="1" applyBorder="1"/>
    <xf numFmtId="0" fontId="7" fillId="4" borderId="0" xfId="0" applyFont="1" applyFill="1"/>
    <xf numFmtId="0" fontId="6" fillId="4" borderId="0" xfId="0" applyFont="1" applyFill="1" applyAlignment="1">
      <alignment horizontal="left"/>
    </xf>
    <xf numFmtId="3" fontId="6" fillId="10" borderId="0" xfId="0" applyNumberFormat="1" applyFont="1" applyFill="1"/>
    <xf numFmtId="0" fontId="6" fillId="10" borderId="0" xfId="0" applyFont="1" applyFill="1"/>
    <xf numFmtId="2" fontId="6" fillId="10" borderId="0" xfId="0" applyNumberFormat="1" applyFont="1" applyFill="1"/>
    <xf numFmtId="9" fontId="6" fillId="10" borderId="0" xfId="0" applyNumberFormat="1" applyFont="1" applyFill="1"/>
    <xf numFmtId="10" fontId="6" fillId="4" borderId="0" xfId="0" applyNumberFormat="1" applyFont="1" applyFill="1"/>
    <xf numFmtId="10" fontId="6" fillId="10" borderId="0" xfId="2" applyNumberFormat="1" applyFont="1" applyFill="1"/>
    <xf numFmtId="0" fontId="7" fillId="4" borderId="0" xfId="0" applyFont="1" applyFill="1" applyAlignment="1">
      <alignment horizontal="left"/>
    </xf>
    <xf numFmtId="0" fontId="7" fillId="4" borderId="0" xfId="0" applyFont="1" applyFill="1" applyAlignment="1">
      <alignment horizontal="right"/>
    </xf>
    <xf numFmtId="0" fontId="7" fillId="4" borderId="0" xfId="0" applyFont="1" applyFill="1" applyAlignment="1">
      <alignment horizontal="center"/>
    </xf>
    <xf numFmtId="43" fontId="6" fillId="10" borderId="0" xfId="1" applyFont="1" applyFill="1"/>
    <xf numFmtId="164" fontId="6" fillId="10" borderId="0" xfId="1" applyNumberFormat="1" applyFont="1" applyFill="1"/>
    <xf numFmtId="2" fontId="6" fillId="11" borderId="0" xfId="0" applyNumberFormat="1" applyFont="1" applyFill="1"/>
    <xf numFmtId="165" fontId="6" fillId="10" borderId="0" xfId="0" applyNumberFormat="1" applyFont="1" applyFill="1"/>
    <xf numFmtId="165" fontId="6" fillId="4" borderId="0" xfId="0" applyNumberFormat="1" applyFont="1" applyFill="1"/>
    <xf numFmtId="10" fontId="7" fillId="4" borderId="0" xfId="2" applyNumberFormat="1" applyFont="1" applyFill="1" applyAlignment="1">
      <alignment horizontal="center"/>
    </xf>
    <xf numFmtId="10" fontId="6" fillId="4" borderId="0" xfId="2" applyNumberFormat="1" applyFont="1" applyFill="1" applyAlignment="1">
      <alignment horizontal="right"/>
    </xf>
    <xf numFmtId="2" fontId="6" fillId="4" borderId="11" xfId="0" applyNumberFormat="1" applyFont="1" applyFill="1" applyBorder="1" applyAlignment="1">
      <alignment horizontal="right"/>
    </xf>
    <xf numFmtId="2" fontId="6" fillId="4" borderId="8" xfId="0" applyNumberFormat="1" applyFont="1" applyFill="1" applyBorder="1" applyAlignment="1">
      <alignment horizontal="right"/>
    </xf>
    <xf numFmtId="10" fontId="6" fillId="4" borderId="11" xfId="2" applyNumberFormat="1" applyFont="1" applyFill="1" applyBorder="1" applyAlignment="1">
      <alignment horizontal="right"/>
    </xf>
    <xf numFmtId="167" fontId="6" fillId="4" borderId="1" xfId="1" applyNumberFormat="1" applyFont="1" applyFill="1" applyBorder="1"/>
    <xf numFmtId="0" fontId="13" fillId="4" borderId="0" xfId="0" applyFont="1" applyFill="1" applyAlignment="1">
      <alignment horizontal="left"/>
    </xf>
    <xf numFmtId="166" fontId="6" fillId="4" borderId="0" xfId="1" applyNumberFormat="1" applyFont="1" applyFill="1" applyAlignment="1">
      <alignment horizontal="right"/>
    </xf>
    <xf numFmtId="10" fontId="6" fillId="4" borderId="0" xfId="2" applyNumberFormat="1" applyFont="1" applyFill="1" applyBorder="1" applyAlignment="1">
      <alignment horizontal="right"/>
    </xf>
    <xf numFmtId="10" fontId="6" fillId="4" borderId="8" xfId="2" applyNumberFormat="1" applyFont="1" applyFill="1" applyBorder="1" applyAlignment="1">
      <alignment horizontal="right"/>
    </xf>
    <xf numFmtId="166" fontId="6" fillId="4" borderId="0" xfId="1" applyNumberFormat="1" applyFont="1" applyFill="1" applyBorder="1" applyAlignment="1">
      <alignment horizontal="right"/>
    </xf>
    <xf numFmtId="0" fontId="6" fillId="4" borderId="13" xfId="0" applyFont="1" applyFill="1" applyBorder="1"/>
    <xf numFmtId="165" fontId="6" fillId="10" borderId="14" xfId="0" applyNumberFormat="1" applyFont="1" applyFill="1" applyBorder="1"/>
    <xf numFmtId="164" fontId="6" fillId="10" borderId="14" xfId="1" applyNumberFormat="1" applyFont="1" applyFill="1" applyBorder="1"/>
    <xf numFmtId="165" fontId="6" fillId="4" borderId="14" xfId="0" applyNumberFormat="1" applyFont="1" applyFill="1" applyBorder="1"/>
    <xf numFmtId="10" fontId="6" fillId="4" borderId="14" xfId="0" applyNumberFormat="1" applyFont="1" applyFill="1" applyBorder="1"/>
    <xf numFmtId="10" fontId="6" fillId="4" borderId="15" xfId="0" applyNumberFormat="1" applyFont="1" applyFill="1" applyBorder="1"/>
    <xf numFmtId="164" fontId="6" fillId="4" borderId="0" xfId="2" applyNumberFormat="1" applyFont="1" applyFill="1" applyAlignment="1">
      <alignment horizontal="right"/>
    </xf>
    <xf numFmtId="164" fontId="6" fillId="4" borderId="0" xfId="1" applyNumberFormat="1" applyFont="1" applyFill="1" applyBorder="1" applyAlignment="1">
      <alignment horizontal="right"/>
    </xf>
    <xf numFmtId="0" fontId="7" fillId="11" borderId="0" xfId="0" applyFont="1" applyFill="1" applyAlignment="1">
      <alignment horizontal="center"/>
    </xf>
    <xf numFmtId="164" fontId="6" fillId="11" borderId="11" xfId="2" applyNumberFormat="1" applyFont="1" applyFill="1" applyBorder="1" applyAlignment="1">
      <alignment horizontal="right"/>
    </xf>
    <xf numFmtId="164" fontId="6" fillId="11" borderId="11" xfId="1" applyNumberFormat="1" applyFont="1" applyFill="1" applyBorder="1" applyAlignment="1">
      <alignment horizontal="right"/>
    </xf>
    <xf numFmtId="10" fontId="14" fillId="4" borderId="0" xfId="2" applyNumberFormat="1" applyFont="1" applyFill="1" applyAlignment="1">
      <alignment horizontal="right"/>
    </xf>
    <xf numFmtId="0" fontId="15" fillId="4" borderId="0" xfId="0" applyFont="1" applyFill="1" applyAlignment="1">
      <alignment horizontal="left"/>
    </xf>
    <xf numFmtId="164" fontId="6" fillId="4" borderId="0" xfId="1" applyNumberFormat="1" applyFont="1" applyFill="1"/>
    <xf numFmtId="0" fontId="6" fillId="11" borderId="0" xfId="0" applyFont="1" applyFill="1" applyAlignment="1">
      <alignment horizontal="left"/>
    </xf>
    <xf numFmtId="0" fontId="6" fillId="11" borderId="0" xfId="0" applyFont="1" applyFill="1"/>
    <xf numFmtId="0" fontId="6" fillId="11" borderId="0" xfId="0" applyFont="1" applyFill="1" applyAlignment="1">
      <alignment horizontal="right"/>
    </xf>
    <xf numFmtId="164" fontId="6" fillId="11" borderId="0" xfId="1" applyNumberFormat="1" applyFont="1" applyFill="1"/>
    <xf numFmtId="164" fontId="6" fillId="4" borderId="0" xfId="0" applyNumberFormat="1" applyFont="1" applyFill="1" applyAlignment="1">
      <alignment horizontal="right"/>
    </xf>
    <xf numFmtId="164" fontId="6" fillId="4" borderId="0" xfId="0" applyNumberFormat="1" applyFont="1" applyFill="1"/>
    <xf numFmtId="164" fontId="13" fillId="4" borderId="0" xfId="0" applyNumberFormat="1" applyFont="1" applyFill="1"/>
    <xf numFmtId="0" fontId="7" fillId="4" borderId="16" xfId="0" applyFont="1" applyFill="1" applyBorder="1" applyAlignment="1">
      <alignment horizontal="left"/>
    </xf>
    <xf numFmtId="0" fontId="6" fillId="4" borderId="17" xfId="0" applyFont="1" applyFill="1" applyBorder="1"/>
    <xf numFmtId="0" fontId="6" fillId="4" borderId="17" xfId="0" applyFont="1" applyFill="1" applyBorder="1" applyAlignment="1">
      <alignment horizontal="right"/>
    </xf>
    <xf numFmtId="0" fontId="6" fillId="4" borderId="19" xfId="0" applyFont="1" applyFill="1" applyBorder="1" applyAlignment="1">
      <alignment horizontal="right"/>
    </xf>
    <xf numFmtId="0" fontId="6" fillId="4" borderId="20" xfId="0" applyFont="1" applyFill="1" applyBorder="1"/>
    <xf numFmtId="0" fontId="6" fillId="4" borderId="19" xfId="0" applyFont="1" applyFill="1" applyBorder="1" applyAlignment="1">
      <alignment horizontal="left"/>
    </xf>
    <xf numFmtId="164" fontId="6" fillId="4" borderId="20" xfId="0" applyNumberFormat="1" applyFont="1" applyFill="1" applyBorder="1"/>
    <xf numFmtId="0" fontId="6" fillId="11" borderId="19" xfId="0" applyFont="1" applyFill="1" applyBorder="1" applyAlignment="1">
      <alignment horizontal="left"/>
    </xf>
    <xf numFmtId="164" fontId="6" fillId="11" borderId="20" xfId="0" applyNumberFormat="1" applyFont="1" applyFill="1" applyBorder="1"/>
    <xf numFmtId="0" fontId="9" fillId="12" borderId="19" xfId="0" applyFont="1" applyFill="1" applyBorder="1" applyAlignment="1">
      <alignment horizontal="left"/>
    </xf>
    <xf numFmtId="0" fontId="9" fillId="12" borderId="0" xfId="0" applyFont="1" applyFill="1"/>
    <xf numFmtId="0" fontId="9" fillId="12" borderId="0" xfId="0" applyFont="1" applyFill="1" applyAlignment="1">
      <alignment horizontal="right"/>
    </xf>
    <xf numFmtId="164" fontId="9" fillId="12" borderId="20" xfId="0" applyNumberFormat="1" applyFont="1" applyFill="1" applyBorder="1"/>
    <xf numFmtId="0" fontId="9" fillId="12" borderId="21" xfId="0" applyFont="1" applyFill="1" applyBorder="1" applyAlignment="1">
      <alignment horizontal="left"/>
    </xf>
    <xf numFmtId="0" fontId="9" fillId="12" borderId="22" xfId="0" applyFont="1" applyFill="1" applyBorder="1"/>
    <xf numFmtId="0" fontId="9" fillId="12" borderId="22" xfId="0" applyFont="1" applyFill="1" applyBorder="1" applyAlignment="1">
      <alignment horizontal="right"/>
    </xf>
    <xf numFmtId="164" fontId="9" fillId="12" borderId="23" xfId="0" applyNumberFormat="1" applyFont="1" applyFill="1" applyBorder="1"/>
    <xf numFmtId="0" fontId="7" fillId="4" borderId="18" xfId="0" applyFont="1" applyFill="1" applyBorder="1" applyAlignment="1">
      <alignment horizontal="center"/>
    </xf>
    <xf numFmtId="164" fontId="6" fillId="13" borderId="11" xfId="1" applyNumberFormat="1" applyFont="1" applyFill="1" applyBorder="1" applyAlignment="1">
      <alignment horizontal="right"/>
    </xf>
    <xf numFmtId="0" fontId="8" fillId="14" borderId="0" xfId="0" applyFont="1" applyFill="1" applyAlignment="1">
      <alignment horizontal="left"/>
    </xf>
    <xf numFmtId="0" fontId="9" fillId="14" borderId="0" xfId="0" applyFont="1" applyFill="1"/>
    <xf numFmtId="10" fontId="9" fillId="14" borderId="0" xfId="2" applyNumberFormat="1" applyFont="1" applyFill="1" applyAlignment="1">
      <alignment horizontal="right"/>
    </xf>
    <xf numFmtId="0" fontId="6" fillId="4" borderId="0" xfId="0" applyFont="1" applyFill="1" applyAlignment="1">
      <alignment horizontal="left" indent="1"/>
    </xf>
    <xf numFmtId="164" fontId="6" fillId="0" borderId="0" xfId="0" applyNumberFormat="1" applyFont="1"/>
    <xf numFmtId="164" fontId="15" fillId="0" borderId="8" xfId="0" applyNumberFormat="1" applyFont="1" applyBorder="1"/>
    <xf numFmtId="0" fontId="6" fillId="0" borderId="8" xfId="0" applyFont="1" applyBorder="1"/>
    <xf numFmtId="164" fontId="6" fillId="0" borderId="8" xfId="0" applyNumberFormat="1" applyFont="1" applyBorder="1"/>
    <xf numFmtId="0" fontId="6" fillId="0" borderId="11" xfId="0" applyFont="1" applyBorder="1"/>
    <xf numFmtId="164" fontId="6" fillId="0" borderId="11" xfId="0" applyNumberFormat="1" applyFont="1" applyBorder="1"/>
    <xf numFmtId="0" fontId="13" fillId="0" borderId="0" xfId="0" applyFont="1"/>
    <xf numFmtId="0" fontId="16" fillId="6" borderId="0" xfId="0" applyFont="1" applyFill="1"/>
    <xf numFmtId="0" fontId="15" fillId="4" borderId="8" xfId="0" applyFont="1" applyFill="1" applyBorder="1"/>
    <xf numFmtId="164" fontId="15" fillId="4" borderId="8" xfId="0" applyNumberFormat="1" applyFont="1" applyFill="1" applyBorder="1"/>
    <xf numFmtId="10" fontId="6" fillId="4" borderId="0" xfId="2" applyNumberFormat="1" applyFont="1" applyFill="1" applyAlignment="1">
      <alignment horizontal="left"/>
    </xf>
    <xf numFmtId="0" fontId="6" fillId="4" borderId="2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left"/>
    </xf>
    <xf numFmtId="2" fontId="6" fillId="4" borderId="0" xfId="0" applyNumberFormat="1" applyFont="1" applyFill="1" applyAlignment="1">
      <alignment horizontal="right"/>
    </xf>
    <xf numFmtId="2" fontId="6" fillId="4" borderId="6" xfId="0" applyNumberFormat="1" applyFont="1" applyFill="1" applyBorder="1" applyAlignment="1">
      <alignment horizontal="right"/>
    </xf>
    <xf numFmtId="10" fontId="6" fillId="4" borderId="6" xfId="2" applyNumberFormat="1" applyFont="1" applyFill="1" applyBorder="1" applyAlignment="1">
      <alignment horizontal="right"/>
    </xf>
    <xf numFmtId="2" fontId="6" fillId="4" borderId="12" xfId="0" applyNumberFormat="1" applyFont="1" applyFill="1" applyBorder="1" applyAlignment="1">
      <alignment horizontal="right"/>
    </xf>
    <xf numFmtId="10" fontId="6" fillId="4" borderId="12" xfId="2" applyNumberFormat="1" applyFont="1" applyFill="1" applyBorder="1" applyAlignment="1">
      <alignment horizontal="right"/>
    </xf>
    <xf numFmtId="2" fontId="6" fillId="4" borderId="9" xfId="0" applyNumberFormat="1" applyFont="1" applyFill="1" applyBorder="1" applyAlignment="1">
      <alignment horizontal="right"/>
    </xf>
    <xf numFmtId="0" fontId="6" fillId="4" borderId="7" xfId="0" applyFont="1" applyFill="1" applyBorder="1" applyAlignment="1">
      <alignment horizontal="left"/>
    </xf>
    <xf numFmtId="10" fontId="6" fillId="4" borderId="9" xfId="2" applyNumberFormat="1" applyFont="1" applyFill="1" applyBorder="1" applyAlignment="1">
      <alignment horizontal="right"/>
    </xf>
    <xf numFmtId="0" fontId="8" fillId="15" borderId="0" xfId="0" applyFont="1" applyFill="1" applyAlignment="1">
      <alignment horizontal="left"/>
    </xf>
    <xf numFmtId="0" fontId="8" fillId="15" borderId="0" xfId="0" applyFont="1" applyFill="1"/>
    <xf numFmtId="0" fontId="8" fillId="15" borderId="0" xfId="0" applyFont="1" applyFill="1" applyAlignment="1">
      <alignment horizontal="right"/>
    </xf>
    <xf numFmtId="10" fontId="9" fillId="15" borderId="0" xfId="2" applyNumberFormat="1" applyFont="1" applyFill="1" applyAlignment="1">
      <alignment horizontal="right"/>
    </xf>
    <xf numFmtId="0" fontId="8" fillId="15" borderId="0" xfId="0" applyFont="1" applyFill="1" applyAlignment="1">
      <alignment horizontal="center"/>
    </xf>
    <xf numFmtId="0" fontId="9" fillId="15" borderId="0" xfId="0" applyFont="1" applyFill="1"/>
    <xf numFmtId="0" fontId="9" fillId="15" borderId="8" xfId="0" applyFont="1" applyFill="1" applyBorder="1" applyAlignment="1">
      <alignment horizontal="left"/>
    </xf>
    <xf numFmtId="0" fontId="9" fillId="15" borderId="8" xfId="0" applyFont="1" applyFill="1" applyBorder="1"/>
    <xf numFmtId="10" fontId="9" fillId="15" borderId="8" xfId="2" applyNumberFormat="1" applyFont="1" applyFill="1" applyBorder="1" applyAlignment="1">
      <alignment horizontal="right"/>
    </xf>
    <xf numFmtId="0" fontId="8" fillId="15" borderId="8" xfId="0" applyFont="1" applyFill="1" applyBorder="1" applyAlignment="1">
      <alignment horizontal="center"/>
    </xf>
    <xf numFmtId="0" fontId="9" fillId="15" borderId="0" xfId="0" applyFont="1" applyFill="1" applyAlignment="1">
      <alignment horizontal="left"/>
    </xf>
    <xf numFmtId="10" fontId="9" fillId="15" borderId="0" xfId="2" applyNumberFormat="1" applyFont="1" applyFill="1" applyBorder="1" applyAlignment="1">
      <alignment horizontal="right"/>
    </xf>
    <xf numFmtId="0" fontId="9" fillId="15" borderId="11" xfId="0" applyFont="1" applyFill="1" applyBorder="1" applyAlignment="1">
      <alignment horizontal="left"/>
    </xf>
    <xf numFmtId="0" fontId="9" fillId="15" borderId="11" xfId="0" applyFont="1" applyFill="1" applyBorder="1"/>
    <xf numFmtId="10" fontId="9" fillId="15" borderId="11" xfId="2" applyNumberFormat="1" applyFont="1" applyFill="1" applyBorder="1" applyAlignment="1">
      <alignment horizontal="right"/>
    </xf>
    <xf numFmtId="166" fontId="9" fillId="15" borderId="11" xfId="1" applyNumberFormat="1" applyFont="1" applyFill="1" applyBorder="1" applyAlignment="1">
      <alignment horizontal="right"/>
    </xf>
    <xf numFmtId="10" fontId="9" fillId="15" borderId="0" xfId="0" applyNumberFormat="1" applyFont="1" applyFill="1"/>
    <xf numFmtId="166" fontId="9" fillId="15" borderId="8" xfId="1" applyNumberFormat="1" applyFont="1" applyFill="1" applyBorder="1"/>
    <xf numFmtId="0" fontId="14" fillId="0" borderId="0" xfId="0" applyFont="1"/>
    <xf numFmtId="164" fontId="14" fillId="0" borderId="0" xfId="0" applyNumberFormat="1" applyFont="1"/>
    <xf numFmtId="0" fontId="13" fillId="4" borderId="0" xfId="0" applyFont="1" applyFill="1"/>
    <xf numFmtId="0" fontId="17" fillId="3" borderId="0" xfId="0" applyFont="1" applyFill="1"/>
    <xf numFmtId="164" fontId="17" fillId="3" borderId="0" xfId="0" applyNumberFormat="1" applyFont="1" applyFill="1"/>
    <xf numFmtId="0" fontId="0" fillId="4" borderId="0" xfId="0" applyFill="1"/>
    <xf numFmtId="0" fontId="18" fillId="9" borderId="0" xfId="0" applyFont="1" applyFill="1"/>
    <xf numFmtId="0" fontId="0" fillId="9" borderId="0" xfId="0" applyFill="1"/>
    <xf numFmtId="0" fontId="0" fillId="9" borderId="0" xfId="0" applyFill="1" applyAlignment="1">
      <alignment horizontal="right"/>
    </xf>
    <xf numFmtId="0" fontId="0" fillId="11" borderId="0" xfId="0" applyFill="1"/>
    <xf numFmtId="0" fontId="18" fillId="11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20</xdr:row>
      <xdr:rowOff>28575</xdr:rowOff>
    </xdr:from>
    <xdr:to>
      <xdr:col>7</xdr:col>
      <xdr:colOff>734169</xdr:colOff>
      <xdr:row>29</xdr:row>
      <xdr:rowOff>9762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5A3800-49D2-DF1D-E975-8A08A27F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3838575"/>
          <a:ext cx="5334744" cy="1695687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30</xdr:row>
      <xdr:rowOff>38101</xdr:rowOff>
    </xdr:from>
    <xdr:to>
      <xdr:col>4</xdr:col>
      <xdr:colOff>314326</xdr:colOff>
      <xdr:row>35</xdr:row>
      <xdr:rowOff>101857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740E57-57D8-5B6A-4BE6-5B1384F51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2451" y="5753101"/>
          <a:ext cx="2571750" cy="10162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1</xdr:rowOff>
    </xdr:from>
    <xdr:to>
      <xdr:col>7</xdr:col>
      <xdr:colOff>733425</xdr:colOff>
      <xdr:row>58</xdr:row>
      <xdr:rowOff>31569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8EFB4C-2C16-B250-B8F1-2593E10E9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620001"/>
          <a:ext cx="5829300" cy="3460568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180976</xdr:colOff>
      <xdr:row>72</xdr:row>
      <xdr:rowOff>76200</xdr:rowOff>
    </xdr:from>
    <xdr:to>
      <xdr:col>7</xdr:col>
      <xdr:colOff>438151</xdr:colOff>
      <xdr:row>89</xdr:row>
      <xdr:rowOff>176362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04BA440-0B39-D2EE-4695-12107DCB1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0976" y="13792200"/>
          <a:ext cx="5353050" cy="333866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92</xdr:row>
      <xdr:rowOff>114300</xdr:rowOff>
    </xdr:from>
    <xdr:to>
      <xdr:col>7</xdr:col>
      <xdr:colOff>638175</xdr:colOff>
      <xdr:row>113</xdr:row>
      <xdr:rowOff>139460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5E64265-E98F-6682-1100-A68C5C205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050" y="17640300"/>
          <a:ext cx="5715000" cy="4025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53448-280C-47C1-A941-4C3131B46060}">
  <dimension ref="A1:AF286"/>
  <sheetViews>
    <sheetView topLeftCell="A117" zoomScale="85" zoomScaleNormal="85" workbookViewId="0">
      <pane ySplit="1" topLeftCell="A118" activePane="bottomLeft" state="frozen"/>
      <selection activeCell="A117" sqref="A117"/>
      <selection pane="bottomLeft"/>
    </sheetView>
  </sheetViews>
  <sheetFormatPr baseColWidth="10" defaultRowHeight="17.25" x14ac:dyDescent="0.3"/>
  <cols>
    <col min="1" max="2" width="11.42578125" style="6"/>
    <col min="3" max="3" width="8.7109375" style="6" customWidth="1"/>
    <col min="4" max="4" width="14.42578125" style="6" customWidth="1"/>
    <col min="5" max="5" width="10.85546875" style="6" customWidth="1"/>
    <col min="6" max="6" width="13.85546875" style="6" bestFit="1" customWidth="1"/>
    <col min="7" max="11" width="12.42578125" style="6" customWidth="1"/>
    <col min="12" max="13" width="11.42578125" style="6"/>
    <col min="14" max="14" width="2.7109375" style="6" customWidth="1"/>
    <col min="15" max="19" width="11.42578125" style="6"/>
    <col min="20" max="20" width="10.42578125" style="6" customWidth="1"/>
    <col min="21" max="25" width="9.7109375" style="6" bestFit="1" customWidth="1"/>
    <col min="26" max="26" width="3.85546875" style="6" customWidth="1"/>
    <col min="27" max="27" width="42.85546875" style="6" bestFit="1" customWidth="1"/>
    <col min="28" max="32" width="10.5703125" style="6" bestFit="1" customWidth="1"/>
    <col min="33" max="33" width="10" style="6" customWidth="1"/>
    <col min="34" max="38" width="9.7109375" style="6" bestFit="1" customWidth="1"/>
    <col min="39" max="16384" width="11.42578125" style="6"/>
  </cols>
  <sheetData>
    <row r="1" spans="1:12" s="2" customFormat="1" ht="23.25" x14ac:dyDescent="0.35">
      <c r="A1" s="1" t="s">
        <v>0</v>
      </c>
    </row>
    <row r="2" spans="1:12" s="3" customFormat="1" ht="18.75" x14ac:dyDescent="0.3"/>
    <row r="3" spans="1:12" s="5" customFormat="1" ht="18.75" x14ac:dyDescent="0.3">
      <c r="A3" s="4" t="s">
        <v>1</v>
      </c>
    </row>
    <row r="5" spans="1:12" x14ac:dyDescent="0.3">
      <c r="A5" s="7"/>
      <c r="B5" s="7" t="s">
        <v>2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x14ac:dyDescent="0.3">
      <c r="A6" s="7"/>
      <c r="B6" s="7"/>
      <c r="C6" s="7" t="s">
        <v>3</v>
      </c>
      <c r="D6" s="7"/>
      <c r="E6" s="7"/>
      <c r="F6" s="7"/>
      <c r="G6" s="7"/>
      <c r="H6" s="7"/>
      <c r="I6" s="7"/>
      <c r="J6" s="7"/>
      <c r="K6" s="7"/>
      <c r="L6" s="7"/>
    </row>
    <row r="7" spans="1:12" x14ac:dyDescent="0.3">
      <c r="A7" s="7"/>
      <c r="B7" s="7"/>
      <c r="C7" s="7" t="s">
        <v>4</v>
      </c>
      <c r="D7" s="7"/>
      <c r="E7" s="7"/>
      <c r="F7" s="7"/>
      <c r="G7" s="7"/>
      <c r="H7" s="7"/>
      <c r="I7" s="7"/>
      <c r="J7" s="7"/>
      <c r="K7" s="7"/>
      <c r="L7" s="7"/>
    </row>
    <row r="8" spans="1:12" x14ac:dyDescent="0.3">
      <c r="A8" s="7"/>
      <c r="B8" s="7"/>
      <c r="C8" s="7" t="s">
        <v>5</v>
      </c>
      <c r="D8" s="7"/>
      <c r="E8" s="7"/>
      <c r="F8" s="7"/>
      <c r="G8" s="7"/>
      <c r="H8" s="7"/>
      <c r="I8" s="7"/>
      <c r="J8" s="7"/>
      <c r="K8" s="7"/>
      <c r="L8" s="7"/>
    </row>
    <row r="9" spans="1:12" x14ac:dyDescent="0.3">
      <c r="A9" s="7"/>
      <c r="B9" s="7" t="s">
        <v>6</v>
      </c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x14ac:dyDescent="0.3">
      <c r="A10" s="7"/>
      <c r="B10" s="7" t="s">
        <v>8</v>
      </c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x14ac:dyDescent="0.3">
      <c r="A11" s="7"/>
      <c r="B11" s="7" t="s">
        <v>7</v>
      </c>
      <c r="C11" s="7"/>
      <c r="D11" s="7"/>
      <c r="E11" s="7"/>
      <c r="F11" s="7"/>
      <c r="G11" s="7"/>
      <c r="H11" s="7"/>
      <c r="I11" s="7"/>
      <c r="J11" s="7"/>
      <c r="K11" s="7"/>
      <c r="L11" s="7"/>
    </row>
    <row r="13" spans="1:12" s="5" customFormat="1" ht="18.75" x14ac:dyDescent="0.3">
      <c r="A13" s="4" t="s">
        <v>9</v>
      </c>
    </row>
    <row r="15" spans="1:12" x14ac:dyDescent="0.3">
      <c r="A15" s="7"/>
      <c r="B15" s="7" t="s">
        <v>10</v>
      </c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2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 x14ac:dyDescent="0.3">
      <c r="A17" s="7"/>
      <c r="B17" s="7" t="s">
        <v>11</v>
      </c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x14ac:dyDescent="0.3">
      <c r="A19" s="7"/>
      <c r="B19" s="7" t="s">
        <v>12</v>
      </c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x14ac:dyDescent="0.3">
      <c r="A20" s="7"/>
      <c r="B20" s="7" t="s">
        <v>13</v>
      </c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x14ac:dyDescent="0.3">
      <c r="A22" s="7"/>
      <c r="B22" s="7" t="s">
        <v>14</v>
      </c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 x14ac:dyDescent="0.3">
      <c r="A23" s="7"/>
      <c r="B23" s="7" t="s">
        <v>15</v>
      </c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3">
      <c r="A24" s="7"/>
      <c r="B24" s="7" t="s">
        <v>16</v>
      </c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2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x14ac:dyDescent="0.3">
      <c r="A26" s="7"/>
      <c r="B26" s="10" t="s">
        <v>17</v>
      </c>
      <c r="C26" s="11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 x14ac:dyDescent="0.3">
      <c r="A28" s="7"/>
      <c r="B28" s="9" t="s">
        <v>18</v>
      </c>
      <c r="C28" s="9"/>
      <c r="D28" s="7"/>
      <c r="E28" s="7"/>
      <c r="F28" s="7"/>
      <c r="G28" s="7"/>
      <c r="H28" s="7"/>
      <c r="I28" s="7"/>
      <c r="J28" s="7"/>
      <c r="K28" s="7"/>
      <c r="L28" s="7"/>
    </row>
    <row r="29" spans="1:12" x14ac:dyDescent="0.3">
      <c r="A29" s="7"/>
      <c r="B29" s="7" t="s">
        <v>20</v>
      </c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2" x14ac:dyDescent="0.3">
      <c r="A30" s="7"/>
      <c r="B30" s="7" t="s">
        <v>21</v>
      </c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1:12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2" x14ac:dyDescent="0.3">
      <c r="A32" s="7"/>
      <c r="B32" s="9" t="s">
        <v>19</v>
      </c>
      <c r="C32" s="9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3">
      <c r="A33" s="7"/>
      <c r="B33" s="7" t="s">
        <v>22</v>
      </c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x14ac:dyDescent="0.3">
      <c r="A36" s="7"/>
      <c r="B36" s="7" t="s">
        <v>24</v>
      </c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x14ac:dyDescent="0.3">
      <c r="A37" s="7"/>
      <c r="B37" s="7" t="s">
        <v>23</v>
      </c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3">
      <c r="A39" s="7"/>
      <c r="B39" s="10" t="s">
        <v>25</v>
      </c>
      <c r="C39" s="11"/>
      <c r="D39" s="7"/>
      <c r="E39" s="7"/>
      <c r="F39" s="7"/>
      <c r="G39" s="7"/>
      <c r="H39" s="7"/>
      <c r="I39" s="7"/>
      <c r="J39" s="7"/>
      <c r="K39" s="7"/>
      <c r="L39" s="7"/>
    </row>
    <row r="40" spans="1:12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x14ac:dyDescent="0.3">
      <c r="A41" s="7"/>
      <c r="B41" s="7" t="s">
        <v>26</v>
      </c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x14ac:dyDescent="0.3">
      <c r="A42" s="7"/>
      <c r="B42" s="7" t="s">
        <v>27</v>
      </c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x14ac:dyDescent="0.3">
      <c r="A43" s="7"/>
      <c r="B43" s="7" t="s">
        <v>28</v>
      </c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2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6" spans="1:12" s="5" customFormat="1" ht="18.75" x14ac:dyDescent="0.3">
      <c r="A46" s="4" t="s">
        <v>29</v>
      </c>
    </row>
    <row r="47" spans="1:12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2" x14ac:dyDescent="0.3">
      <c r="A48" s="12" t="s">
        <v>37</v>
      </c>
      <c r="B48" s="7" t="s">
        <v>30</v>
      </c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1:12" x14ac:dyDescent="0.3">
      <c r="A49" s="12" t="s">
        <v>37</v>
      </c>
      <c r="B49" s="7" t="s">
        <v>31</v>
      </c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1:12" x14ac:dyDescent="0.3">
      <c r="A50" s="12" t="s">
        <v>37</v>
      </c>
      <c r="B50" s="7" t="s">
        <v>32</v>
      </c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1:12" x14ac:dyDescent="0.3">
      <c r="A51" s="12" t="s">
        <v>37</v>
      </c>
      <c r="B51" s="7" t="s">
        <v>35</v>
      </c>
      <c r="C51" s="7"/>
      <c r="D51" s="7"/>
      <c r="E51" s="7"/>
      <c r="F51" s="7"/>
      <c r="G51" s="7"/>
      <c r="H51" s="7"/>
      <c r="I51" s="7"/>
      <c r="J51" s="7"/>
      <c r="K51" s="7"/>
      <c r="L51" s="7"/>
    </row>
    <row r="52" spans="1:12" x14ac:dyDescent="0.3">
      <c r="A52" s="12" t="s">
        <v>37</v>
      </c>
      <c r="B52" s="7" t="s">
        <v>33</v>
      </c>
      <c r="C52" s="7"/>
      <c r="D52" s="7"/>
      <c r="E52" s="7"/>
      <c r="F52" s="7"/>
      <c r="G52" s="7"/>
      <c r="H52" s="7"/>
      <c r="I52" s="7"/>
      <c r="J52" s="7"/>
      <c r="K52" s="7"/>
      <c r="L52" s="7"/>
    </row>
    <row r="53" spans="1:12" x14ac:dyDescent="0.3">
      <c r="A53" s="12" t="s">
        <v>37</v>
      </c>
      <c r="B53" s="7" t="s">
        <v>34</v>
      </c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12" x14ac:dyDescent="0.3">
      <c r="A54" s="7"/>
      <c r="B54" s="7" t="s">
        <v>36</v>
      </c>
      <c r="C54" s="7"/>
      <c r="D54" s="7"/>
      <c r="E54" s="7"/>
      <c r="F54" s="7"/>
      <c r="G54" s="7"/>
      <c r="H54" s="7"/>
      <c r="I54" s="7"/>
      <c r="J54" s="7"/>
      <c r="K54" s="7"/>
      <c r="L54" s="7"/>
    </row>
    <row r="55" spans="1:12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</row>
    <row r="57" spans="1:12" s="5" customFormat="1" ht="18.75" x14ac:dyDescent="0.3">
      <c r="A57" s="4" t="s">
        <v>38</v>
      </c>
    </row>
    <row r="58" spans="1:12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</row>
    <row r="59" spans="1:12" x14ac:dyDescent="0.3">
      <c r="A59" s="12" t="s">
        <v>37</v>
      </c>
      <c r="B59" s="7" t="s">
        <v>39</v>
      </c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12" x14ac:dyDescent="0.3">
      <c r="A60" s="12"/>
      <c r="B60" s="7"/>
      <c r="C60" s="7" t="s">
        <v>40</v>
      </c>
      <c r="D60" s="7"/>
      <c r="E60" s="7"/>
      <c r="F60" s="7"/>
      <c r="G60" s="7"/>
      <c r="H60" s="7"/>
      <c r="I60" s="7"/>
      <c r="J60" s="7"/>
      <c r="K60" s="7"/>
      <c r="L60" s="7"/>
    </row>
    <row r="61" spans="1:12" x14ac:dyDescent="0.3">
      <c r="A61" s="12"/>
      <c r="B61" s="7"/>
      <c r="C61" s="7" t="s">
        <v>41</v>
      </c>
      <c r="D61" s="7"/>
      <c r="E61" s="7"/>
      <c r="F61" s="7"/>
      <c r="G61" s="7"/>
      <c r="H61" s="7"/>
      <c r="I61" s="7"/>
      <c r="J61" s="7"/>
      <c r="K61" s="7"/>
      <c r="L61" s="7"/>
    </row>
    <row r="62" spans="1:12" x14ac:dyDescent="0.3">
      <c r="A62" s="12"/>
      <c r="B62" s="7"/>
      <c r="C62" s="7" t="s">
        <v>42</v>
      </c>
      <c r="D62" s="7"/>
      <c r="E62" s="7"/>
      <c r="F62" s="7"/>
      <c r="G62" s="7"/>
      <c r="H62" s="7"/>
      <c r="I62" s="7"/>
      <c r="J62" s="7"/>
      <c r="K62" s="7"/>
      <c r="L62" s="7"/>
    </row>
    <row r="63" spans="1:12" x14ac:dyDescent="0.3">
      <c r="A63" s="12"/>
      <c r="B63" s="7"/>
      <c r="C63" s="7" t="s">
        <v>43</v>
      </c>
      <c r="D63" s="7"/>
      <c r="E63" s="7"/>
      <c r="F63" s="7"/>
      <c r="G63" s="7"/>
      <c r="H63" s="7"/>
      <c r="I63" s="7"/>
      <c r="J63" s="7"/>
      <c r="K63" s="7"/>
      <c r="L63" s="7"/>
    </row>
    <row r="64" spans="1:12" x14ac:dyDescent="0.3">
      <c r="A64" s="12"/>
      <c r="B64" s="7"/>
      <c r="C64" s="7" t="s">
        <v>44</v>
      </c>
      <c r="D64" s="7"/>
      <c r="E64" s="7"/>
      <c r="F64" s="7"/>
      <c r="G64" s="7"/>
      <c r="H64" s="7"/>
      <c r="I64" s="7"/>
      <c r="J64" s="7"/>
      <c r="K64" s="7"/>
      <c r="L64" s="7"/>
    </row>
    <row r="65" spans="1:12" x14ac:dyDescent="0.3">
      <c r="A65" s="12" t="s">
        <v>37</v>
      </c>
      <c r="B65" s="7" t="s">
        <v>45</v>
      </c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2" x14ac:dyDescent="0.3">
      <c r="A66" s="12"/>
      <c r="B66" s="7"/>
      <c r="C66" s="7" t="s">
        <v>46</v>
      </c>
      <c r="D66" s="7"/>
      <c r="E66" s="7"/>
      <c r="F66" s="7"/>
      <c r="G66" s="7"/>
      <c r="H66" s="7"/>
      <c r="I66" s="7"/>
      <c r="J66" s="7"/>
      <c r="K66" s="7"/>
      <c r="L66" s="7"/>
    </row>
    <row r="67" spans="1:12" x14ac:dyDescent="0.3">
      <c r="A67" s="12"/>
      <c r="B67" s="7"/>
      <c r="C67" s="7" t="s">
        <v>47</v>
      </c>
      <c r="D67" s="7"/>
      <c r="E67" s="7"/>
      <c r="F67" s="7"/>
      <c r="G67" s="7"/>
      <c r="H67" s="7"/>
      <c r="I67" s="7"/>
      <c r="J67" s="7"/>
      <c r="K67" s="7"/>
      <c r="L67" s="7"/>
    </row>
    <row r="68" spans="1:12" x14ac:dyDescent="0.3">
      <c r="A68" s="12"/>
      <c r="B68" s="7"/>
      <c r="C68" s="7" t="s">
        <v>48</v>
      </c>
      <c r="D68" s="7"/>
      <c r="E68" s="7"/>
      <c r="F68" s="7"/>
      <c r="G68" s="7"/>
      <c r="H68" s="7"/>
      <c r="I68" s="7"/>
      <c r="J68" s="7"/>
      <c r="K68" s="7"/>
      <c r="L68" s="7"/>
    </row>
    <row r="69" spans="1:12" x14ac:dyDescent="0.3">
      <c r="A69" s="12"/>
      <c r="B69" s="7"/>
      <c r="C69" s="7" t="s">
        <v>49</v>
      </c>
      <c r="D69" s="7"/>
      <c r="E69" s="7"/>
      <c r="F69" s="7"/>
      <c r="G69" s="7"/>
      <c r="H69" s="7"/>
      <c r="I69" s="7"/>
      <c r="J69" s="7"/>
      <c r="K69" s="7"/>
      <c r="L69" s="7"/>
    </row>
    <row r="70" spans="1:12" x14ac:dyDescent="0.3">
      <c r="A70" s="12"/>
      <c r="B70" s="7"/>
      <c r="C70" s="7" t="s">
        <v>50</v>
      </c>
      <c r="D70" s="7"/>
      <c r="E70" s="7"/>
      <c r="F70" s="7"/>
      <c r="G70" s="7"/>
      <c r="H70" s="7"/>
      <c r="I70" s="7"/>
      <c r="J70" s="7"/>
      <c r="K70" s="7"/>
      <c r="L70" s="7"/>
    </row>
    <row r="71" spans="1:12" x14ac:dyDescent="0.3">
      <c r="A71" s="12"/>
      <c r="B71" s="7"/>
      <c r="C71" s="7" t="s">
        <v>51</v>
      </c>
      <c r="D71" s="7"/>
      <c r="E71" s="7"/>
      <c r="F71" s="7"/>
      <c r="G71" s="7"/>
      <c r="H71" s="7"/>
      <c r="I71" s="7"/>
      <c r="J71" s="7"/>
      <c r="K71" s="7"/>
      <c r="L71" s="7"/>
    </row>
    <row r="72" spans="1:12" x14ac:dyDescent="0.3">
      <c r="A72" s="12"/>
      <c r="B72" s="7"/>
      <c r="C72" s="7" t="s">
        <v>52</v>
      </c>
      <c r="D72" s="7"/>
      <c r="E72" s="7"/>
      <c r="F72" s="7"/>
      <c r="G72" s="7"/>
      <c r="H72" s="7"/>
      <c r="I72" s="7"/>
      <c r="J72" s="7"/>
      <c r="K72" s="7"/>
      <c r="L72" s="7"/>
    </row>
    <row r="73" spans="1:12" x14ac:dyDescent="0.3">
      <c r="A73" s="12"/>
      <c r="B73" s="7" t="s">
        <v>165</v>
      </c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pans="1:12" x14ac:dyDescent="0.3">
      <c r="A74" s="12"/>
      <c r="B74" s="7"/>
      <c r="C74" s="7" t="s">
        <v>166</v>
      </c>
      <c r="D74" s="7"/>
      <c r="E74" s="7"/>
      <c r="F74" s="7"/>
      <c r="G74" s="7"/>
      <c r="H74" s="7"/>
      <c r="I74" s="7"/>
      <c r="J74" s="7"/>
      <c r="K74" s="7"/>
      <c r="L74" s="7"/>
    </row>
    <row r="75" spans="1:12" x14ac:dyDescent="0.3">
      <c r="A75" s="12"/>
      <c r="B75" s="7" t="s">
        <v>167</v>
      </c>
      <c r="C75" s="7"/>
      <c r="D75" s="7"/>
      <c r="E75" s="7"/>
      <c r="F75" s="7"/>
      <c r="G75" s="7"/>
      <c r="H75" s="7"/>
      <c r="I75" s="7"/>
      <c r="J75" s="7"/>
      <c r="K75" s="7"/>
      <c r="L75" s="7"/>
    </row>
    <row r="76" spans="1:12" x14ac:dyDescent="0.3">
      <c r="A76" s="12"/>
      <c r="B76" s="7"/>
      <c r="C76" s="7" t="s">
        <v>168</v>
      </c>
      <c r="D76" s="7"/>
      <c r="E76" s="7"/>
      <c r="F76" s="7"/>
      <c r="G76" s="7"/>
      <c r="H76" s="7"/>
      <c r="I76" s="7"/>
      <c r="J76" s="7"/>
      <c r="K76" s="7"/>
      <c r="L76" s="7"/>
    </row>
    <row r="77" spans="1:12" x14ac:dyDescent="0.3">
      <c r="A77" s="7"/>
      <c r="B77" s="7"/>
      <c r="C77" s="7" t="s">
        <v>169</v>
      </c>
      <c r="D77" s="7"/>
      <c r="E77" s="7"/>
      <c r="F77" s="7"/>
      <c r="G77" s="7"/>
      <c r="H77" s="7"/>
      <c r="I77" s="7"/>
      <c r="J77" s="7"/>
      <c r="K77" s="7"/>
      <c r="L77" s="7"/>
    </row>
    <row r="79" spans="1:12" s="5" customFormat="1" ht="18.75" x14ac:dyDescent="0.3">
      <c r="A79" s="4" t="s">
        <v>53</v>
      </c>
    </row>
    <row r="80" spans="1:12" x14ac:dyDescent="0.3">
      <c r="A80" s="7"/>
      <c r="B80" s="7" t="s">
        <v>54</v>
      </c>
      <c r="C80" s="7"/>
      <c r="D80" s="7"/>
      <c r="E80" s="7"/>
      <c r="F80" s="7"/>
      <c r="G80" s="7"/>
      <c r="H80" s="7"/>
      <c r="I80" s="7"/>
      <c r="J80" s="7"/>
      <c r="K80" s="7"/>
      <c r="L80" s="7"/>
    </row>
    <row r="81" spans="1:12" x14ac:dyDescent="0.3">
      <c r="A81" s="12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</row>
    <row r="82" spans="1:12" x14ac:dyDescent="0.3">
      <c r="A82" s="12"/>
      <c r="B82" s="7"/>
      <c r="C82" s="7"/>
      <c r="D82" s="14" t="s">
        <v>55</v>
      </c>
      <c r="E82" s="14" t="s">
        <v>56</v>
      </c>
      <c r="F82" s="14" t="s">
        <v>57</v>
      </c>
      <c r="G82" s="14" t="s">
        <v>58</v>
      </c>
      <c r="H82" s="14" t="s">
        <v>59</v>
      </c>
      <c r="I82" s="14" t="s">
        <v>60</v>
      </c>
      <c r="J82" s="14" t="s">
        <v>61</v>
      </c>
      <c r="K82" s="14" t="s">
        <v>62</v>
      </c>
      <c r="L82" s="14" t="s">
        <v>63</v>
      </c>
    </row>
    <row r="83" spans="1:12" x14ac:dyDescent="0.3">
      <c r="A83" s="12"/>
      <c r="B83" s="7"/>
      <c r="C83" s="13">
        <v>1</v>
      </c>
      <c r="D83" s="17" t="s">
        <v>64</v>
      </c>
      <c r="E83" s="18"/>
      <c r="F83" s="19"/>
      <c r="G83" s="20" t="s">
        <v>67</v>
      </c>
      <c r="H83" s="21"/>
      <c r="I83" s="21"/>
      <c r="J83" s="21"/>
      <c r="K83" s="21"/>
      <c r="L83" s="22"/>
    </row>
    <row r="84" spans="1:12" x14ac:dyDescent="0.3">
      <c r="A84" s="12"/>
      <c r="B84" s="7"/>
      <c r="C84" s="13">
        <f>+C83+1</f>
        <v>2</v>
      </c>
      <c r="D84" s="40" t="s">
        <v>65</v>
      </c>
      <c r="E84" s="24"/>
      <c r="F84" s="25"/>
      <c r="G84" s="26"/>
      <c r="H84" s="27"/>
      <c r="I84" s="28" t="s">
        <v>68</v>
      </c>
      <c r="J84" s="28" t="s">
        <v>69</v>
      </c>
      <c r="K84" s="28" t="s">
        <v>70</v>
      </c>
      <c r="L84" s="29" t="s">
        <v>76</v>
      </c>
    </row>
    <row r="85" spans="1:12" x14ac:dyDescent="0.3">
      <c r="A85" s="12"/>
      <c r="B85" s="7"/>
      <c r="C85" s="13">
        <f t="shared" ref="C85:C94" si="0">+C84+1</f>
        <v>3</v>
      </c>
      <c r="D85" s="40" t="s">
        <v>66</v>
      </c>
      <c r="E85" s="24"/>
      <c r="F85" s="25"/>
      <c r="G85" s="26" t="s">
        <v>71</v>
      </c>
      <c r="H85" s="27"/>
      <c r="I85" s="42">
        <f>+E87*E88</f>
        <v>1200</v>
      </c>
      <c r="J85" s="42">
        <f>+I85*(1+$E$89)</f>
        <v>1260</v>
      </c>
      <c r="K85" s="42">
        <f>+J85*(1+$E$89)</f>
        <v>1323</v>
      </c>
      <c r="L85" s="43">
        <f>+K85*(1+$E$89)</f>
        <v>1389.15</v>
      </c>
    </row>
    <row r="86" spans="1:12" x14ac:dyDescent="0.3">
      <c r="A86" s="12"/>
      <c r="B86" s="7"/>
      <c r="C86" s="13">
        <f t="shared" si="0"/>
        <v>4</v>
      </c>
      <c r="D86" s="40"/>
      <c r="E86" s="24"/>
      <c r="F86" s="25"/>
      <c r="G86" s="26" t="s">
        <v>72</v>
      </c>
      <c r="H86" s="27"/>
      <c r="I86" s="27"/>
      <c r="J86" s="27"/>
      <c r="K86" s="27"/>
      <c r="L86" s="30"/>
    </row>
    <row r="87" spans="1:12" x14ac:dyDescent="0.3">
      <c r="A87" s="12"/>
      <c r="B87" s="7"/>
      <c r="C87" s="13">
        <f t="shared" si="0"/>
        <v>5</v>
      </c>
      <c r="D87" s="40" t="s">
        <v>77</v>
      </c>
      <c r="E87" s="24">
        <v>100</v>
      </c>
      <c r="F87" s="25"/>
      <c r="G87" s="26" t="s">
        <v>73</v>
      </c>
      <c r="H87" s="27"/>
      <c r="I87" s="27"/>
      <c r="J87" s="27"/>
      <c r="K87" s="27"/>
      <c r="L87" s="30"/>
    </row>
    <row r="88" spans="1:12" x14ac:dyDescent="0.3">
      <c r="A88" s="12"/>
      <c r="B88" s="7"/>
      <c r="C88" s="13">
        <f t="shared" si="0"/>
        <v>6</v>
      </c>
      <c r="D88" s="40" t="s">
        <v>78</v>
      </c>
      <c r="E88" s="24">
        <v>12</v>
      </c>
      <c r="F88" s="25"/>
      <c r="G88" s="26" t="s">
        <v>74</v>
      </c>
      <c r="H88" s="27"/>
      <c r="I88" s="27"/>
      <c r="J88" s="27"/>
      <c r="K88" s="27"/>
      <c r="L88" s="30"/>
    </row>
    <row r="89" spans="1:12" x14ac:dyDescent="0.3">
      <c r="A89" s="12"/>
      <c r="B89" s="7"/>
      <c r="C89" s="13">
        <f t="shared" si="0"/>
        <v>7</v>
      </c>
      <c r="D89" s="40" t="s">
        <v>79</v>
      </c>
      <c r="E89" s="41">
        <v>0.05</v>
      </c>
      <c r="F89" s="25"/>
      <c r="G89" s="26" t="s">
        <v>74</v>
      </c>
      <c r="H89" s="27"/>
      <c r="I89" s="27"/>
      <c r="J89" s="27"/>
      <c r="K89" s="27"/>
      <c r="L89" s="30"/>
    </row>
    <row r="90" spans="1:12" x14ac:dyDescent="0.3">
      <c r="A90" s="12"/>
      <c r="B90" s="7"/>
      <c r="C90" s="13">
        <f t="shared" si="0"/>
        <v>8</v>
      </c>
      <c r="D90" s="23"/>
      <c r="E90" s="24"/>
      <c r="F90" s="25"/>
      <c r="G90" s="31" t="s">
        <v>75</v>
      </c>
      <c r="H90" s="32"/>
      <c r="I90" s="32"/>
      <c r="J90" s="32"/>
      <c r="K90" s="32"/>
      <c r="L90" s="33"/>
    </row>
    <row r="91" spans="1:12" x14ac:dyDescent="0.3">
      <c r="A91" s="12"/>
      <c r="B91" s="7"/>
      <c r="C91" s="13">
        <f t="shared" si="0"/>
        <v>9</v>
      </c>
      <c r="D91" s="23"/>
      <c r="E91" s="24"/>
      <c r="F91" s="25"/>
      <c r="G91" s="26"/>
      <c r="H91" s="27"/>
      <c r="I91" s="27"/>
      <c r="J91" s="27"/>
      <c r="K91" s="27"/>
      <c r="L91" s="30"/>
    </row>
    <row r="92" spans="1:12" x14ac:dyDescent="0.3">
      <c r="A92" s="12"/>
      <c r="B92" s="7"/>
      <c r="C92" s="13">
        <f t="shared" si="0"/>
        <v>10</v>
      </c>
      <c r="D92" s="23"/>
      <c r="E92" s="24"/>
      <c r="F92" s="25"/>
      <c r="G92" s="26"/>
      <c r="H92" s="27"/>
      <c r="I92" s="27"/>
      <c r="J92" s="27"/>
      <c r="K92" s="27"/>
      <c r="L92" s="30"/>
    </row>
    <row r="93" spans="1:12" x14ac:dyDescent="0.3">
      <c r="A93" s="12"/>
      <c r="B93" s="7"/>
      <c r="C93" s="13">
        <f t="shared" si="0"/>
        <v>11</v>
      </c>
      <c r="D93" s="23"/>
      <c r="E93" s="24"/>
      <c r="F93" s="25"/>
      <c r="G93" s="26"/>
      <c r="H93" s="27"/>
      <c r="I93" s="27"/>
      <c r="J93" s="27"/>
      <c r="K93" s="27"/>
      <c r="L93" s="30"/>
    </row>
    <row r="94" spans="1:12" x14ac:dyDescent="0.3">
      <c r="A94" s="12"/>
      <c r="B94" s="7"/>
      <c r="C94" s="13">
        <f t="shared" si="0"/>
        <v>12</v>
      </c>
      <c r="D94" s="34"/>
      <c r="E94" s="35"/>
      <c r="F94" s="36"/>
      <c r="G94" s="37"/>
      <c r="H94" s="38"/>
      <c r="I94" s="38"/>
      <c r="J94" s="38"/>
      <c r="K94" s="38"/>
      <c r="L94" s="39"/>
    </row>
    <row r="95" spans="1:12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</row>
    <row r="97" spans="1:12" s="5" customFormat="1" ht="18.75" x14ac:dyDescent="0.3">
      <c r="A97" s="4" t="s">
        <v>80</v>
      </c>
    </row>
    <row r="98" spans="1:12" x14ac:dyDescent="0.3">
      <c r="A98" s="7"/>
      <c r="B98" s="7"/>
      <c r="C98" s="44" t="s">
        <v>81</v>
      </c>
      <c r="D98" s="7"/>
      <c r="E98" s="7"/>
      <c r="F98" s="7"/>
      <c r="G98" s="7"/>
      <c r="H98" s="7"/>
      <c r="I98" s="44" t="s">
        <v>98</v>
      </c>
      <c r="J98" s="7"/>
      <c r="K98" s="7"/>
      <c r="L98" s="7"/>
    </row>
    <row r="99" spans="1:12" x14ac:dyDescent="0.3">
      <c r="A99" s="12"/>
      <c r="B99" s="7"/>
      <c r="C99" s="12" t="s">
        <v>37</v>
      </c>
      <c r="D99" s="7" t="s">
        <v>83</v>
      </c>
      <c r="E99" s="7"/>
      <c r="F99" s="7"/>
      <c r="G99" s="7"/>
      <c r="H99" s="12" t="s">
        <v>37</v>
      </c>
      <c r="I99" s="7" t="s">
        <v>99</v>
      </c>
      <c r="J99" s="7"/>
      <c r="K99" s="7"/>
      <c r="L99" s="7"/>
    </row>
    <row r="100" spans="1:12" x14ac:dyDescent="0.3">
      <c r="A100" s="12"/>
      <c r="B100" s="7"/>
      <c r="C100" s="12" t="s">
        <v>37</v>
      </c>
      <c r="D100" s="7" t="s">
        <v>84</v>
      </c>
      <c r="E100" s="7"/>
      <c r="F100" s="7"/>
      <c r="G100" s="7"/>
      <c r="H100" s="12" t="s">
        <v>37</v>
      </c>
      <c r="I100" s="7" t="s">
        <v>100</v>
      </c>
      <c r="J100" s="7"/>
      <c r="K100" s="7"/>
      <c r="L100" s="7"/>
    </row>
    <row r="101" spans="1:12" x14ac:dyDescent="0.3">
      <c r="A101" s="12"/>
      <c r="B101" s="7"/>
      <c r="C101" s="12" t="s">
        <v>37</v>
      </c>
      <c r="D101" s="7" t="s">
        <v>85</v>
      </c>
      <c r="E101" s="7"/>
      <c r="F101" s="7"/>
      <c r="G101" s="7"/>
      <c r="H101" s="12" t="s">
        <v>37</v>
      </c>
      <c r="I101" s="7" t="s">
        <v>101</v>
      </c>
      <c r="J101" s="7"/>
      <c r="K101" s="7"/>
      <c r="L101" s="7"/>
    </row>
    <row r="102" spans="1:12" x14ac:dyDescent="0.3">
      <c r="A102" s="12"/>
      <c r="B102" s="7"/>
      <c r="C102" s="12" t="s">
        <v>37</v>
      </c>
      <c r="D102" s="7" t="s">
        <v>86</v>
      </c>
      <c r="E102" s="7"/>
      <c r="F102" s="7"/>
      <c r="G102" s="7"/>
      <c r="H102" s="12" t="s">
        <v>37</v>
      </c>
      <c r="I102" s="7" t="s">
        <v>102</v>
      </c>
      <c r="J102" s="7"/>
      <c r="K102" s="7"/>
      <c r="L102" s="7"/>
    </row>
    <row r="103" spans="1:12" x14ac:dyDescent="0.3">
      <c r="A103" s="12"/>
      <c r="B103" s="7"/>
      <c r="C103" s="12" t="s">
        <v>37</v>
      </c>
      <c r="D103" s="7" t="s">
        <v>87</v>
      </c>
      <c r="E103" s="7"/>
      <c r="F103" s="7"/>
      <c r="G103" s="7"/>
      <c r="H103" s="12" t="s">
        <v>37</v>
      </c>
      <c r="I103" s="7" t="s">
        <v>103</v>
      </c>
      <c r="J103" s="7"/>
      <c r="K103" s="7"/>
      <c r="L103" s="7"/>
    </row>
    <row r="104" spans="1:12" x14ac:dyDescent="0.3">
      <c r="A104" s="12"/>
      <c r="B104" s="7"/>
      <c r="C104" s="12" t="s">
        <v>37</v>
      </c>
      <c r="D104" s="7" t="s">
        <v>88</v>
      </c>
      <c r="E104" s="7"/>
      <c r="F104" s="7"/>
      <c r="G104" s="7"/>
      <c r="H104" s="12" t="s">
        <v>37</v>
      </c>
      <c r="I104" s="7" t="s">
        <v>104</v>
      </c>
      <c r="J104" s="7"/>
      <c r="K104" s="7"/>
      <c r="L104" s="7"/>
    </row>
    <row r="105" spans="1:12" x14ac:dyDescent="0.3">
      <c r="A105" s="12"/>
      <c r="B105" s="7"/>
      <c r="C105" s="44" t="s">
        <v>82</v>
      </c>
      <c r="D105" s="7"/>
      <c r="E105" s="7"/>
      <c r="F105" s="7"/>
      <c r="G105" s="7"/>
      <c r="H105" s="12" t="s">
        <v>37</v>
      </c>
      <c r="I105" s="7" t="s">
        <v>105</v>
      </c>
      <c r="J105" s="7"/>
      <c r="K105" s="7"/>
      <c r="L105" s="7"/>
    </row>
    <row r="106" spans="1:12" x14ac:dyDescent="0.3">
      <c r="A106" s="12"/>
      <c r="B106" s="7"/>
      <c r="C106" s="12" t="s">
        <v>37</v>
      </c>
      <c r="D106" s="7" t="s">
        <v>89</v>
      </c>
      <c r="E106" s="7"/>
      <c r="F106" s="7"/>
      <c r="G106" s="7"/>
      <c r="H106" s="12"/>
      <c r="I106" s="7"/>
      <c r="J106" s="7"/>
      <c r="K106" s="7"/>
      <c r="L106" s="7"/>
    </row>
    <row r="107" spans="1:12" x14ac:dyDescent="0.3">
      <c r="A107" s="12"/>
      <c r="B107" s="7"/>
      <c r="C107" s="12" t="s">
        <v>37</v>
      </c>
      <c r="D107" s="7" t="s">
        <v>90</v>
      </c>
      <c r="E107" s="7"/>
      <c r="F107" s="7"/>
      <c r="G107" s="7"/>
      <c r="H107" s="12"/>
      <c r="I107" s="44" t="s">
        <v>106</v>
      </c>
      <c r="J107" s="7"/>
      <c r="K107" s="7"/>
      <c r="L107" s="7"/>
    </row>
    <row r="108" spans="1:12" x14ac:dyDescent="0.3">
      <c r="A108" s="12"/>
      <c r="B108" s="7"/>
      <c r="C108" s="12" t="s">
        <v>37</v>
      </c>
      <c r="D108" s="7" t="s">
        <v>91</v>
      </c>
      <c r="E108" s="7"/>
      <c r="F108" s="7"/>
      <c r="G108" s="7"/>
      <c r="H108" s="12" t="s">
        <v>37</v>
      </c>
      <c r="I108" s="7" t="s">
        <v>107</v>
      </c>
      <c r="J108" s="7"/>
      <c r="K108" s="7"/>
      <c r="L108" s="7"/>
    </row>
    <row r="109" spans="1:12" x14ac:dyDescent="0.3">
      <c r="A109" s="12"/>
      <c r="B109" s="7"/>
      <c r="C109" s="12" t="s">
        <v>37</v>
      </c>
      <c r="D109" s="7" t="s">
        <v>92</v>
      </c>
      <c r="E109" s="7"/>
      <c r="F109" s="7"/>
      <c r="G109" s="7"/>
      <c r="H109" s="12" t="s">
        <v>37</v>
      </c>
      <c r="I109" s="7" t="s">
        <v>108</v>
      </c>
      <c r="J109" s="7"/>
      <c r="K109" s="7"/>
      <c r="L109" s="7"/>
    </row>
    <row r="110" spans="1:12" x14ac:dyDescent="0.3">
      <c r="A110" s="12"/>
      <c r="B110" s="7"/>
      <c r="C110" s="12" t="s">
        <v>37</v>
      </c>
      <c r="D110" s="7" t="s">
        <v>93</v>
      </c>
      <c r="E110" s="7"/>
      <c r="F110" s="7"/>
      <c r="G110" s="7"/>
      <c r="H110" s="12" t="s">
        <v>37</v>
      </c>
      <c r="I110" s="7" t="s">
        <v>109</v>
      </c>
      <c r="J110" s="7"/>
      <c r="K110" s="7"/>
      <c r="L110" s="7"/>
    </row>
    <row r="111" spans="1:12" x14ac:dyDescent="0.3">
      <c r="A111" s="12"/>
      <c r="B111" s="7"/>
      <c r="C111" s="12" t="s">
        <v>37</v>
      </c>
      <c r="D111" s="7" t="s">
        <v>94</v>
      </c>
      <c r="E111" s="7"/>
      <c r="F111" s="7"/>
      <c r="G111" s="7"/>
      <c r="H111" s="12" t="s">
        <v>37</v>
      </c>
      <c r="I111" s="7" t="s">
        <v>110</v>
      </c>
      <c r="J111" s="7"/>
      <c r="K111" s="7"/>
      <c r="L111" s="7"/>
    </row>
    <row r="112" spans="1:12" x14ac:dyDescent="0.3">
      <c r="A112" s="12"/>
      <c r="B112" s="7"/>
      <c r="C112" s="12" t="s">
        <v>37</v>
      </c>
      <c r="D112" s="7" t="s">
        <v>95</v>
      </c>
      <c r="E112" s="7"/>
      <c r="F112" s="7"/>
      <c r="G112" s="7"/>
      <c r="H112" s="12"/>
      <c r="I112" s="7"/>
      <c r="J112" s="7"/>
      <c r="K112" s="7"/>
      <c r="L112" s="7"/>
    </row>
    <row r="113" spans="1:32" x14ac:dyDescent="0.3">
      <c r="A113" s="12"/>
      <c r="B113" s="7"/>
      <c r="C113" s="12" t="s">
        <v>37</v>
      </c>
      <c r="D113" s="7" t="s">
        <v>96</v>
      </c>
      <c r="E113" s="7"/>
      <c r="F113" s="7"/>
      <c r="G113" s="7"/>
      <c r="H113" s="12"/>
      <c r="I113" s="7"/>
      <c r="J113" s="7"/>
      <c r="K113" s="7"/>
      <c r="L113" s="7"/>
    </row>
    <row r="114" spans="1:32" x14ac:dyDescent="0.3">
      <c r="A114" s="12"/>
      <c r="B114" s="7"/>
      <c r="C114" s="12" t="s">
        <v>37</v>
      </c>
      <c r="D114" s="7" t="s">
        <v>97</v>
      </c>
      <c r="E114" s="7"/>
      <c r="F114" s="7"/>
      <c r="G114" s="7"/>
      <c r="H114" s="12"/>
      <c r="I114" s="7"/>
      <c r="J114" s="7"/>
      <c r="K114" s="7"/>
      <c r="L114" s="7"/>
    </row>
    <row r="115" spans="1:32" x14ac:dyDescent="0.3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</row>
    <row r="117" spans="1:32" s="5" customFormat="1" ht="18.75" x14ac:dyDescent="0.3">
      <c r="A117" s="4" t="s">
        <v>111</v>
      </c>
    </row>
    <row r="118" spans="1:32" x14ac:dyDescent="0.3">
      <c r="A118" s="7" t="s">
        <v>124</v>
      </c>
      <c r="B118" s="7"/>
      <c r="C118" s="44"/>
      <c r="D118" s="7"/>
      <c r="E118" s="7"/>
      <c r="F118" s="7"/>
      <c r="G118" s="7"/>
      <c r="H118" s="7"/>
      <c r="I118" s="44"/>
      <c r="J118" s="7"/>
      <c r="K118" s="7"/>
      <c r="L118" s="7"/>
      <c r="O118" s="111" t="s">
        <v>255</v>
      </c>
      <c r="P118" s="112"/>
      <c r="Q118" s="112"/>
      <c r="R118" s="113"/>
      <c r="S118" s="61"/>
      <c r="T118" s="54" t="s">
        <v>126</v>
      </c>
      <c r="U118" s="54" t="s">
        <v>68</v>
      </c>
      <c r="V118" s="54" t="s">
        <v>69</v>
      </c>
      <c r="W118" s="54" t="s">
        <v>70</v>
      </c>
      <c r="X118" s="54" t="s">
        <v>76</v>
      </c>
      <c r="Y118" s="54" t="s">
        <v>127</v>
      </c>
    </row>
    <row r="119" spans="1:32" x14ac:dyDescent="0.3">
      <c r="A119" s="45" t="s">
        <v>112</v>
      </c>
      <c r="B119" s="7"/>
      <c r="C119" s="12"/>
      <c r="D119" s="7"/>
      <c r="E119" s="7"/>
      <c r="F119" s="7"/>
      <c r="G119" s="7"/>
      <c r="H119" s="12"/>
      <c r="I119" s="7"/>
      <c r="J119" s="7"/>
      <c r="K119" s="7"/>
      <c r="L119" s="7"/>
      <c r="O119" s="45"/>
      <c r="P119" s="7"/>
      <c r="Q119" s="7"/>
      <c r="R119" s="61"/>
      <c r="S119" s="61"/>
      <c r="T119" s="61"/>
      <c r="U119" s="61"/>
      <c r="V119" s="61"/>
      <c r="W119" s="54"/>
      <c r="X119" s="54"/>
      <c r="Y119" s="54"/>
      <c r="AA119" s="122" t="s">
        <v>281</v>
      </c>
      <c r="AB119" s="11"/>
      <c r="AC119" s="11"/>
      <c r="AD119" s="11"/>
      <c r="AE119" s="11"/>
      <c r="AF119" s="11"/>
    </row>
    <row r="120" spans="1:32" x14ac:dyDescent="0.3">
      <c r="A120" s="52" t="s">
        <v>119</v>
      </c>
      <c r="B120" s="7"/>
      <c r="C120" s="12"/>
      <c r="D120" s="7"/>
      <c r="E120" s="7"/>
      <c r="F120" s="7"/>
      <c r="G120" s="7"/>
      <c r="H120" s="12"/>
      <c r="I120" s="7"/>
      <c r="J120" s="7"/>
      <c r="K120" s="7"/>
      <c r="L120" s="7"/>
      <c r="O120" s="45" t="s">
        <v>202</v>
      </c>
      <c r="P120" s="7"/>
      <c r="Q120" s="7"/>
      <c r="R120" s="61"/>
      <c r="S120" s="61"/>
      <c r="T120" s="77">
        <f>+D216</f>
        <v>6579</v>
      </c>
      <c r="U120" s="77">
        <f>+$T$120*(1+G164)</f>
        <v>6579</v>
      </c>
      <c r="V120" s="77">
        <f>+$T$120*(1+H164)</f>
        <v>6644.79</v>
      </c>
      <c r="W120" s="77">
        <f>+V120*(1+I164)</f>
        <v>6777.6858000000002</v>
      </c>
      <c r="X120" s="77">
        <f>+W120*(1+J164)</f>
        <v>6913.2395160000005</v>
      </c>
      <c r="Y120" s="77">
        <f>+X120*(1+K164)</f>
        <v>7051.504306320001</v>
      </c>
      <c r="AA120" s="86"/>
      <c r="AB120" s="79" t="s">
        <v>68</v>
      </c>
      <c r="AC120" s="79" t="s">
        <v>69</v>
      </c>
      <c r="AD120" s="79" t="s">
        <v>70</v>
      </c>
      <c r="AE120" s="79" t="s">
        <v>76</v>
      </c>
      <c r="AF120" s="79" t="s">
        <v>127</v>
      </c>
    </row>
    <row r="121" spans="1:32" x14ac:dyDescent="0.3">
      <c r="A121" s="45" t="s">
        <v>118</v>
      </c>
      <c r="B121" s="7"/>
      <c r="C121" s="45" t="s">
        <v>156</v>
      </c>
      <c r="D121" s="7"/>
      <c r="E121" s="7"/>
      <c r="F121" s="12" t="s">
        <v>116</v>
      </c>
      <c r="G121" s="46">
        <v>15000</v>
      </c>
      <c r="H121" s="7" t="s">
        <v>117</v>
      </c>
      <c r="I121" s="7"/>
      <c r="J121" s="7"/>
      <c r="K121" s="7"/>
      <c r="L121" s="7"/>
      <c r="O121" s="45" t="s">
        <v>204</v>
      </c>
      <c r="P121" s="7"/>
      <c r="Q121" s="7"/>
      <c r="R121" s="61"/>
      <c r="S121" s="61"/>
      <c r="T121" s="70">
        <f>C216</f>
        <v>7</v>
      </c>
      <c r="U121" s="70">
        <f>T121*(1+G227)</f>
        <v>7.3500000000000005</v>
      </c>
      <c r="V121" s="70">
        <f>U121*(1+H227)</f>
        <v>7.8317925000000006</v>
      </c>
      <c r="W121" s="70">
        <f>V121*(1+I227)</f>
        <v>8.3451664983750007</v>
      </c>
      <c r="X121" s="70">
        <f>W121*(1+J227)</f>
        <v>8.8500490715266888</v>
      </c>
      <c r="Y121" s="70">
        <f>X121*(1+K227)</f>
        <v>9.3854770403540542</v>
      </c>
      <c r="AA121" s="6" t="s">
        <v>71</v>
      </c>
      <c r="AB121" s="115">
        <f>U125</f>
        <v>48355.65</v>
      </c>
      <c r="AC121" s="115">
        <f>V125</f>
        <v>52040.616486075007</v>
      </c>
      <c r="AD121" s="115">
        <f>W125</f>
        <v>56560.916474671969</v>
      </c>
      <c r="AE121" s="115">
        <f>X125</f>
        <v>61182.508959817424</v>
      </c>
      <c r="AF121" s="115">
        <f>Y125</f>
        <v>66181.731766924117</v>
      </c>
    </row>
    <row r="122" spans="1:32" x14ac:dyDescent="0.3">
      <c r="A122" s="45" t="s">
        <v>113</v>
      </c>
      <c r="B122" s="7"/>
      <c r="C122" s="45" t="s">
        <v>156</v>
      </c>
      <c r="D122" s="7"/>
      <c r="E122" s="7"/>
      <c r="F122" s="12" t="s">
        <v>116</v>
      </c>
      <c r="G122" s="46">
        <v>24000</v>
      </c>
      <c r="H122" s="7" t="s">
        <v>117</v>
      </c>
      <c r="I122" s="7"/>
      <c r="J122" s="7"/>
      <c r="K122" s="7"/>
      <c r="L122" s="7"/>
      <c r="O122" s="45" t="s">
        <v>205</v>
      </c>
      <c r="P122" s="7"/>
      <c r="Q122" s="7"/>
      <c r="R122" s="61"/>
      <c r="S122" s="61"/>
      <c r="T122" s="61"/>
      <c r="U122" s="78">
        <f>+U120*U121</f>
        <v>48355.65</v>
      </c>
      <c r="V122" s="78">
        <f>+V120*V121</f>
        <v>52040.616486075007</v>
      </c>
      <c r="W122" s="78">
        <f>+W120*W121</f>
        <v>56560.916474671969</v>
      </c>
      <c r="X122" s="78">
        <f>+X120*X121</f>
        <v>61182.508959817424</v>
      </c>
      <c r="Y122" s="78">
        <f>+Y120*Y121</f>
        <v>66181.731766924117</v>
      </c>
      <c r="AA122" s="117" t="s">
        <v>72</v>
      </c>
      <c r="AB122" s="118">
        <f>+U148</f>
        <v>-24124.263032686977</v>
      </c>
      <c r="AC122" s="118">
        <f>+V148</f>
        <v>-26947.791535686341</v>
      </c>
      <c r="AD122" s="118">
        <f>+W148</f>
        <v>-27626.485488537506</v>
      </c>
      <c r="AE122" s="118">
        <f>+X148</f>
        <v>-29408.612056030404</v>
      </c>
      <c r="AF122" s="118">
        <f>+Y148</f>
        <v>-30640.715417252904</v>
      </c>
    </row>
    <row r="123" spans="1:32" x14ac:dyDescent="0.3">
      <c r="A123" s="45" t="s">
        <v>114</v>
      </c>
      <c r="B123" s="7"/>
      <c r="C123" s="45" t="s">
        <v>156</v>
      </c>
      <c r="D123" s="7"/>
      <c r="E123" s="7"/>
      <c r="F123" s="12" t="s">
        <v>157</v>
      </c>
      <c r="G123" s="47">
        <v>400</v>
      </c>
      <c r="H123" s="7" t="s">
        <v>115</v>
      </c>
      <c r="I123" s="7"/>
      <c r="J123" s="7"/>
      <c r="K123" s="7"/>
      <c r="L123" s="7"/>
      <c r="O123" s="45"/>
      <c r="P123" s="7"/>
      <c r="Q123" s="7"/>
      <c r="R123" s="61"/>
      <c r="S123" s="61"/>
      <c r="T123" s="61"/>
      <c r="U123" s="78"/>
      <c r="V123" s="78"/>
      <c r="W123" s="78"/>
      <c r="X123" s="78"/>
      <c r="Y123" s="78"/>
      <c r="AA123" s="123" t="s">
        <v>267</v>
      </c>
      <c r="AB123" s="124">
        <f>SUM(AB121:AB122)</f>
        <v>24231.386967313025</v>
      </c>
      <c r="AC123" s="124">
        <f t="shared" ref="AC123:AF123" si="1">SUM(AC121:AC122)</f>
        <v>25092.824950388665</v>
      </c>
      <c r="AD123" s="124">
        <f t="shared" si="1"/>
        <v>28934.430986134463</v>
      </c>
      <c r="AE123" s="124">
        <f t="shared" si="1"/>
        <v>31773.896903787019</v>
      </c>
      <c r="AF123" s="124">
        <f t="shared" si="1"/>
        <v>35541.016349671212</v>
      </c>
    </row>
    <row r="124" spans="1:32" x14ac:dyDescent="0.3">
      <c r="A124" s="45" t="s">
        <v>123</v>
      </c>
      <c r="B124" s="7"/>
      <c r="C124" s="45" t="s">
        <v>156</v>
      </c>
      <c r="D124" s="7"/>
      <c r="E124" s="7"/>
      <c r="F124" s="12" t="s">
        <v>116</v>
      </c>
      <c r="G124" s="48">
        <v>4.3</v>
      </c>
      <c r="H124" s="7"/>
      <c r="I124" s="7"/>
      <c r="J124" s="7"/>
      <c r="K124" s="7"/>
      <c r="L124" s="7"/>
      <c r="O124" s="66" t="s">
        <v>236</v>
      </c>
      <c r="P124" s="7"/>
      <c r="Q124" s="7"/>
      <c r="R124" s="61"/>
      <c r="S124" s="61"/>
      <c r="T124" s="61"/>
      <c r="U124" s="110">
        <f>U114*G100</f>
        <v>0</v>
      </c>
      <c r="V124" s="80">
        <f>+U128</f>
        <v>2417.7825000000012</v>
      </c>
      <c r="W124" s="80">
        <f t="shared" ref="W124:Y124" si="2">+V128</f>
        <v>2602.0308243037498</v>
      </c>
      <c r="X124" s="80">
        <f t="shared" si="2"/>
        <v>2828.045823733597</v>
      </c>
      <c r="Y124" s="80">
        <f t="shared" si="2"/>
        <v>3059.1254479908725</v>
      </c>
      <c r="AA124" s="6" t="s">
        <v>268</v>
      </c>
      <c r="AB124" s="115">
        <f>-U164</f>
        <v>-6000</v>
      </c>
      <c r="AC124" s="115">
        <f>-V164</f>
        <v>-6000</v>
      </c>
      <c r="AD124" s="115">
        <f>-W164</f>
        <v>-6000</v>
      </c>
      <c r="AE124" s="115">
        <f>-X164</f>
        <v>-7421</v>
      </c>
      <c r="AF124" s="115">
        <f>-Y164</f>
        <v>-6000</v>
      </c>
    </row>
    <row r="125" spans="1:32" x14ac:dyDescent="0.3">
      <c r="A125" s="45" t="s">
        <v>120</v>
      </c>
      <c r="B125" s="7"/>
      <c r="C125" s="45" t="s">
        <v>156</v>
      </c>
      <c r="D125" s="7"/>
      <c r="E125" s="7"/>
      <c r="F125" s="12" t="s">
        <v>157</v>
      </c>
      <c r="G125" s="49">
        <v>0.35</v>
      </c>
      <c r="H125" s="45" t="s">
        <v>279</v>
      </c>
      <c r="I125" s="7"/>
      <c r="J125" s="7"/>
      <c r="K125" s="7"/>
      <c r="L125" s="7"/>
      <c r="O125" s="45" t="s">
        <v>256</v>
      </c>
      <c r="P125" s="7"/>
      <c r="Q125" s="7"/>
      <c r="R125" s="61"/>
      <c r="S125" s="61"/>
      <c r="T125" s="61"/>
      <c r="U125" s="77">
        <f>+U122</f>
        <v>48355.65</v>
      </c>
      <c r="V125" s="77">
        <f t="shared" ref="V125:Y125" si="3">+V122</f>
        <v>52040.616486075007</v>
      </c>
      <c r="W125" s="77">
        <f t="shared" si="3"/>
        <v>56560.916474671969</v>
      </c>
      <c r="X125" s="77">
        <f t="shared" si="3"/>
        <v>61182.508959817424</v>
      </c>
      <c r="Y125" s="77">
        <f t="shared" si="3"/>
        <v>66181.731766924117</v>
      </c>
      <c r="AA125" s="117" t="s">
        <v>270</v>
      </c>
      <c r="AB125" s="118">
        <f>-SUM(U190:U193)</f>
        <v>-9212.1284999999989</v>
      </c>
      <c r="AC125" s="118">
        <f>-SUM(V190:V193)</f>
        <v>-9860.942683746749</v>
      </c>
      <c r="AD125" s="118">
        <f>-SUM(W190:W193)</f>
        <v>-10605.756114720476</v>
      </c>
      <c r="AE125" s="118">
        <f>-SUM(X190:X193)</f>
        <v>-11354.303132143565</v>
      </c>
      <c r="AF125" s="118">
        <f>-SUM(Y190:Y193)</f>
        <v>-12170.688714758768</v>
      </c>
    </row>
    <row r="126" spans="1:32" x14ac:dyDescent="0.3">
      <c r="A126" s="45" t="s">
        <v>277</v>
      </c>
      <c r="B126" s="7"/>
      <c r="C126" s="45" t="s">
        <v>156</v>
      </c>
      <c r="D126" s="7"/>
      <c r="E126" s="7"/>
      <c r="F126" s="7"/>
      <c r="G126" s="49">
        <v>0.05</v>
      </c>
      <c r="H126" s="45" t="s">
        <v>278</v>
      </c>
      <c r="I126" s="7"/>
      <c r="J126" s="7"/>
      <c r="K126" s="7"/>
      <c r="L126" s="7"/>
      <c r="O126" s="45" t="s">
        <v>257</v>
      </c>
      <c r="P126" s="7"/>
      <c r="Q126" s="7"/>
      <c r="R126" s="61"/>
      <c r="S126" s="125" t="s">
        <v>285</v>
      </c>
      <c r="T126" s="61"/>
      <c r="U126" s="77">
        <f>-+U125*$G$172</f>
        <v>-45937.8675</v>
      </c>
      <c r="V126" s="77">
        <f t="shared" ref="V126:Y126" si="4">-+V125*$G$172</f>
        <v>-49438.585661771256</v>
      </c>
      <c r="W126" s="77">
        <f t="shared" si="4"/>
        <v>-53732.87065093837</v>
      </c>
      <c r="X126" s="77">
        <f t="shared" si="4"/>
        <v>-58123.383511826549</v>
      </c>
      <c r="Y126" s="77">
        <f t="shared" si="4"/>
        <v>-62872.645178577906</v>
      </c>
      <c r="AA126" s="123" t="s">
        <v>271</v>
      </c>
      <c r="AB126" s="124">
        <f>SUM(AB123:AB125)</f>
        <v>9019.2584673130259</v>
      </c>
      <c r="AC126" s="124">
        <f t="shared" ref="AC126:AF126" si="5">SUM(AC123:AC125)</f>
        <v>9231.8822666419164</v>
      </c>
      <c r="AD126" s="124">
        <f t="shared" si="5"/>
        <v>12328.674871413987</v>
      </c>
      <c r="AE126" s="124">
        <f t="shared" si="5"/>
        <v>12998.593771643455</v>
      </c>
      <c r="AF126" s="124">
        <f t="shared" si="5"/>
        <v>17370.327634912443</v>
      </c>
    </row>
    <row r="127" spans="1:32" x14ac:dyDescent="0.3">
      <c r="A127" s="45" t="s">
        <v>121</v>
      </c>
      <c r="B127" s="7"/>
      <c r="C127" s="44"/>
      <c r="D127" s="7"/>
      <c r="E127" s="7"/>
      <c r="F127" s="7"/>
      <c r="G127" s="7"/>
      <c r="H127" s="12"/>
      <c r="I127" s="7"/>
      <c r="J127" s="7"/>
      <c r="K127" s="7"/>
      <c r="L127" s="7"/>
      <c r="O127" s="45" t="s">
        <v>258</v>
      </c>
      <c r="P127" s="7"/>
      <c r="Q127" s="7"/>
      <c r="R127" s="61"/>
      <c r="S127" s="125" t="s">
        <v>285</v>
      </c>
      <c r="T127" s="61"/>
      <c r="U127" s="77">
        <v>0</v>
      </c>
      <c r="V127" s="77">
        <f>-+U125*(1-$G$172)</f>
        <v>-2417.7825000000021</v>
      </c>
      <c r="W127" s="77">
        <f>-+V125*(1-$G$172)</f>
        <v>-2602.0308243037525</v>
      </c>
      <c r="X127" s="77">
        <f>-+W125*(1-$G$172)</f>
        <v>-2828.0458237336011</v>
      </c>
      <c r="Y127" s="77">
        <f>-+X125*(1-$G$172)</f>
        <v>-3059.1254479908739</v>
      </c>
      <c r="AA127" s="119" t="s">
        <v>269</v>
      </c>
      <c r="AB127" s="120">
        <f>-U181</f>
        <v>-1573</v>
      </c>
      <c r="AC127" s="120">
        <f>-V181</f>
        <v>-1330.2632233023369</v>
      </c>
      <c r="AD127" s="120">
        <f>-W181</f>
        <v>-1055.9706656339774</v>
      </c>
      <c r="AE127" s="120">
        <f>-X181</f>
        <v>-746.02007546873131</v>
      </c>
      <c r="AF127" s="120">
        <f>-Y181</f>
        <v>-395.77590858200318</v>
      </c>
    </row>
    <row r="128" spans="1:32" x14ac:dyDescent="0.3">
      <c r="A128" s="45" t="s">
        <v>122</v>
      </c>
      <c r="B128" s="7"/>
      <c r="C128" s="12"/>
      <c r="D128" s="7"/>
      <c r="E128" s="7"/>
      <c r="F128" s="7"/>
      <c r="G128" s="7"/>
      <c r="H128" s="12"/>
      <c r="I128" s="7"/>
      <c r="J128" s="7"/>
      <c r="K128" s="7"/>
      <c r="L128" s="7"/>
      <c r="O128" s="66" t="s">
        <v>239</v>
      </c>
      <c r="P128" s="7"/>
      <c r="Q128" s="7"/>
      <c r="R128" s="61"/>
      <c r="S128" s="125"/>
      <c r="T128" s="61"/>
      <c r="U128" s="80">
        <f>SUM(U124:U127)</f>
        <v>2417.7825000000012</v>
      </c>
      <c r="V128" s="80">
        <f t="shared" ref="V128:Y128" si="6">SUM(V124:V127)</f>
        <v>2602.0308243037498</v>
      </c>
      <c r="W128" s="80">
        <f t="shared" si="6"/>
        <v>2828.045823733597</v>
      </c>
      <c r="X128" s="80">
        <f t="shared" si="6"/>
        <v>3059.1254479908725</v>
      </c>
      <c r="Y128" s="80">
        <f t="shared" si="6"/>
        <v>3309.0865883462038</v>
      </c>
      <c r="AA128" s="123" t="s">
        <v>272</v>
      </c>
      <c r="AB128" s="124">
        <f>+AB126+AB127</f>
        <v>7446.2584673130259</v>
      </c>
      <c r="AC128" s="124">
        <f t="shared" ref="AC128:AF128" si="7">+AC126+AC127</f>
        <v>7901.6190433395795</v>
      </c>
      <c r="AD128" s="124">
        <f t="shared" si="7"/>
        <v>11272.70420578001</v>
      </c>
      <c r="AE128" s="124">
        <f t="shared" si="7"/>
        <v>12252.573696174722</v>
      </c>
      <c r="AF128" s="124">
        <f t="shared" si="7"/>
        <v>16974.551726330439</v>
      </c>
    </row>
    <row r="129" spans="1:32" x14ac:dyDescent="0.3">
      <c r="A129" s="52" t="s">
        <v>228</v>
      </c>
      <c r="B129" s="7"/>
      <c r="C129" s="12"/>
      <c r="D129" s="7"/>
      <c r="E129" s="7"/>
      <c r="F129" s="7"/>
      <c r="G129" s="7"/>
      <c r="H129" s="12"/>
      <c r="I129" s="7"/>
      <c r="J129" s="7"/>
      <c r="K129" s="7"/>
      <c r="L129" s="7"/>
      <c r="O129" s="45"/>
      <c r="P129" s="7"/>
      <c r="Q129" s="7"/>
      <c r="R129" s="61"/>
      <c r="S129" s="61"/>
      <c r="T129" s="61"/>
      <c r="U129" s="61"/>
      <c r="V129" s="61"/>
      <c r="W129" s="54"/>
      <c r="X129" s="54"/>
      <c r="Y129" s="54"/>
      <c r="AA129" s="117" t="s">
        <v>273</v>
      </c>
      <c r="AB129" s="116">
        <f>-AB128*$G$125</f>
        <v>-2606.1904635595588</v>
      </c>
      <c r="AC129" s="116">
        <f t="shared" ref="AC129:AF129" si="8">-AC128*$G$125</f>
        <v>-2765.5666651688525</v>
      </c>
      <c r="AD129" s="116">
        <f t="shared" si="8"/>
        <v>-3945.446472023003</v>
      </c>
      <c r="AE129" s="116">
        <f t="shared" si="8"/>
        <v>-4288.4007936611524</v>
      </c>
      <c r="AF129" s="116">
        <f t="shared" si="8"/>
        <v>-5941.0931042156535</v>
      </c>
    </row>
    <row r="130" spans="1:32" x14ac:dyDescent="0.3">
      <c r="A130" s="85" t="s">
        <v>229</v>
      </c>
      <c r="B130" s="86"/>
      <c r="C130" s="87"/>
      <c r="D130" s="86"/>
      <c r="E130" s="86"/>
      <c r="F130" s="86"/>
      <c r="G130" s="88">
        <v>0</v>
      </c>
      <c r="H130" s="12"/>
      <c r="I130" s="7"/>
      <c r="J130" s="7"/>
      <c r="K130" s="7"/>
      <c r="L130" s="7"/>
      <c r="O130" s="45"/>
      <c r="P130" s="7"/>
      <c r="Q130" s="7"/>
      <c r="R130" s="61"/>
      <c r="S130" s="61"/>
      <c r="T130" s="61"/>
      <c r="U130" s="61"/>
      <c r="V130" s="61"/>
      <c r="W130" s="54"/>
      <c r="X130" s="54"/>
      <c r="Y130" s="54"/>
      <c r="AA130" s="123" t="s">
        <v>272</v>
      </c>
      <c r="AB130" s="124">
        <f>+AB128+AB129</f>
        <v>4840.0680037534676</v>
      </c>
      <c r="AC130" s="124">
        <f t="shared" ref="AC130" si="9">+AC128+AC129</f>
        <v>5136.052378170727</v>
      </c>
      <c r="AD130" s="124">
        <f t="shared" ref="AD130" si="10">+AD128+AD129</f>
        <v>7327.2577337570074</v>
      </c>
      <c r="AE130" s="124">
        <f t="shared" ref="AE130" si="11">+AE128+AE129</f>
        <v>7964.1729025135701</v>
      </c>
      <c r="AF130" s="124">
        <f t="shared" ref="AF130" si="12">+AF128+AF129</f>
        <v>11033.458622114786</v>
      </c>
    </row>
    <row r="131" spans="1:32" x14ac:dyDescent="0.3">
      <c r="A131" s="45" t="s">
        <v>230</v>
      </c>
      <c r="B131" s="7"/>
      <c r="C131" s="12"/>
      <c r="D131" s="7"/>
      <c r="E131" s="7"/>
      <c r="F131" s="7"/>
      <c r="G131" s="84">
        <f>+G121</f>
        <v>15000</v>
      </c>
      <c r="H131" s="12"/>
      <c r="I131" s="7"/>
      <c r="J131" s="7"/>
      <c r="K131" s="7"/>
      <c r="L131" s="7"/>
      <c r="O131" s="45"/>
      <c r="P131" s="7"/>
      <c r="Q131" s="7"/>
      <c r="R131" s="61"/>
      <c r="S131" s="61"/>
      <c r="T131" s="61"/>
      <c r="U131" s="61"/>
      <c r="V131" s="61"/>
      <c r="W131" s="54"/>
      <c r="X131" s="54"/>
      <c r="Y131" s="54"/>
    </row>
    <row r="132" spans="1:32" x14ac:dyDescent="0.3">
      <c r="A132" s="45" t="s">
        <v>231</v>
      </c>
      <c r="B132" s="7"/>
      <c r="C132" s="12"/>
      <c r="D132" s="7"/>
      <c r="E132" s="7"/>
      <c r="F132" s="7"/>
      <c r="G132" s="84">
        <f>-+G122</f>
        <v>-24000</v>
      </c>
      <c r="H132" s="12"/>
      <c r="I132" s="7"/>
      <c r="J132" s="7"/>
      <c r="K132" s="7"/>
      <c r="L132" s="7"/>
      <c r="O132" s="45"/>
      <c r="P132" s="7"/>
      <c r="Q132" s="7"/>
      <c r="R132" s="61"/>
      <c r="S132" s="61"/>
      <c r="T132" s="61"/>
      <c r="U132" s="61"/>
      <c r="V132" s="61"/>
      <c r="W132" s="54"/>
      <c r="X132" s="54"/>
      <c r="Y132" s="54"/>
      <c r="AA132" s="122" t="s">
        <v>297</v>
      </c>
      <c r="AB132" s="11"/>
      <c r="AC132" s="11"/>
      <c r="AD132" s="11"/>
      <c r="AE132" s="11"/>
      <c r="AF132" s="11"/>
    </row>
    <row r="133" spans="1:32" x14ac:dyDescent="0.3">
      <c r="A133" s="45" t="s">
        <v>232</v>
      </c>
      <c r="B133" s="7"/>
      <c r="C133" s="12"/>
      <c r="D133" s="7"/>
      <c r="E133" s="7"/>
      <c r="F133" s="7"/>
      <c r="G133" s="84">
        <f>+-G123*G124*G175</f>
        <v>-1548</v>
      </c>
      <c r="H133" s="12"/>
      <c r="I133" s="7"/>
      <c r="J133" s="7"/>
      <c r="K133" s="7"/>
      <c r="L133" s="7"/>
      <c r="O133" s="111" t="s">
        <v>259</v>
      </c>
      <c r="P133" s="112"/>
      <c r="Q133" s="112"/>
      <c r="R133" s="113"/>
      <c r="S133" s="61"/>
      <c r="T133" s="54" t="s">
        <v>126</v>
      </c>
      <c r="U133" s="54" t="s">
        <v>68</v>
      </c>
      <c r="V133" s="54" t="s">
        <v>69</v>
      </c>
      <c r="W133" s="54" t="s">
        <v>70</v>
      </c>
      <c r="X133" s="54" t="s">
        <v>76</v>
      </c>
      <c r="Y133" s="54" t="s">
        <v>127</v>
      </c>
      <c r="AA133" s="86"/>
      <c r="AB133" s="79" t="s">
        <v>68</v>
      </c>
      <c r="AC133" s="79" t="s">
        <v>69</v>
      </c>
      <c r="AD133" s="79" t="s">
        <v>70</v>
      </c>
      <c r="AE133" s="79" t="s">
        <v>76</v>
      </c>
      <c r="AF133" s="79" t="s">
        <v>127</v>
      </c>
    </row>
    <row r="134" spans="1:32" x14ac:dyDescent="0.3">
      <c r="A134" s="45" t="s">
        <v>234</v>
      </c>
      <c r="B134" s="7"/>
      <c r="C134" s="12"/>
      <c r="D134" s="7"/>
      <c r="E134" s="7"/>
      <c r="F134" s="7"/>
      <c r="G134" s="84">
        <v>12100</v>
      </c>
      <c r="H134" s="12"/>
      <c r="I134" s="7"/>
      <c r="J134" s="7"/>
      <c r="K134" s="7"/>
      <c r="L134" s="7"/>
      <c r="O134" s="52"/>
      <c r="P134" s="7"/>
      <c r="Q134" s="7"/>
      <c r="R134" s="61"/>
      <c r="S134" s="61"/>
      <c r="T134" s="54"/>
      <c r="U134" s="54"/>
      <c r="V134" s="54"/>
      <c r="W134" s="54"/>
      <c r="X134" s="54"/>
      <c r="Y134" s="54"/>
      <c r="AA134" s="6" t="s">
        <v>241</v>
      </c>
      <c r="AB134" s="115">
        <f>+U227</f>
        <v>10742.437772442596</v>
      </c>
      <c r="AC134" s="115">
        <f>+V227</f>
        <v>16247.023946834539</v>
      </c>
      <c r="AD134" s="115">
        <f>+W227</f>
        <v>24353.63585688399</v>
      </c>
      <c r="AE134" s="115">
        <f>+X227</f>
        <v>2186.2195129826287</v>
      </c>
      <c r="AF134" s="115">
        <f>+Y227</f>
        <v>11810.296910825829</v>
      </c>
    </row>
    <row r="135" spans="1:32" x14ac:dyDescent="0.3">
      <c r="A135" s="85" t="s">
        <v>233</v>
      </c>
      <c r="B135" s="86"/>
      <c r="C135" s="87"/>
      <c r="D135" s="86"/>
      <c r="E135" s="86"/>
      <c r="F135" s="86"/>
      <c r="G135" s="88">
        <f>SUM(G130:G134)</f>
        <v>1552</v>
      </c>
      <c r="H135" s="89">
        <f>+F250</f>
        <v>1552.2918</v>
      </c>
      <c r="I135" s="91" t="s">
        <v>235</v>
      </c>
      <c r="J135" s="7"/>
      <c r="K135" s="7"/>
      <c r="L135" s="7"/>
      <c r="O135" s="66" t="s">
        <v>216</v>
      </c>
      <c r="P135" s="7"/>
      <c r="Q135" s="7"/>
      <c r="R135" s="61"/>
      <c r="S135" s="61"/>
      <c r="T135" s="61"/>
      <c r="U135" s="61"/>
      <c r="V135" s="61"/>
      <c r="W135" s="54"/>
      <c r="X135" s="77"/>
      <c r="Y135" s="54"/>
      <c r="AA135" s="6" t="s">
        <v>298</v>
      </c>
      <c r="AB135" s="115">
        <f>+U128</f>
        <v>2417.7825000000012</v>
      </c>
      <c r="AC135" s="115">
        <f>+V128</f>
        <v>2602.0308243037498</v>
      </c>
      <c r="AD135" s="115">
        <f>+W128</f>
        <v>2828.045823733597</v>
      </c>
      <c r="AE135" s="115">
        <f>+X128</f>
        <v>3059.1254479908725</v>
      </c>
      <c r="AF135" s="115">
        <f>+Y128</f>
        <v>3309.0865883462038</v>
      </c>
    </row>
    <row r="136" spans="1:32" ht="18" thickBot="1" x14ac:dyDescent="0.35">
      <c r="A136" s="12"/>
      <c r="B136" s="7"/>
      <c r="C136" s="12"/>
      <c r="D136" s="7"/>
      <c r="E136" s="7"/>
      <c r="F136" s="7"/>
      <c r="G136" s="7"/>
      <c r="H136" s="12"/>
      <c r="I136" s="7"/>
      <c r="J136" s="7"/>
      <c r="K136" s="7"/>
      <c r="L136" s="7"/>
      <c r="O136" s="45" t="s">
        <v>236</v>
      </c>
      <c r="P136" s="7"/>
      <c r="Q136" s="7"/>
      <c r="R136" s="61"/>
      <c r="S136" s="61"/>
      <c r="T136" s="61" t="s">
        <v>217</v>
      </c>
      <c r="U136" s="81">
        <f>+G123</f>
        <v>400</v>
      </c>
      <c r="V136" s="80">
        <f>+U139</f>
        <v>546.05700000000002</v>
      </c>
      <c r="W136" s="80">
        <f t="shared" ref="W136:Y136" si="13">+V139</f>
        <v>551.51756999999998</v>
      </c>
      <c r="X136" s="80">
        <f t="shared" si="13"/>
        <v>562.54792140000006</v>
      </c>
      <c r="Y136" s="80">
        <f t="shared" si="13"/>
        <v>573.79887982800005</v>
      </c>
      <c r="AA136" s="6" t="s">
        <v>142</v>
      </c>
      <c r="AB136" s="115">
        <f>+U149</f>
        <v>2002.3138317130179</v>
      </c>
      <c r="AC136" s="115">
        <f>+V149</f>
        <v>2236.6666974619693</v>
      </c>
      <c r="AD136" s="115">
        <f>+W149</f>
        <v>2292.9982955486157</v>
      </c>
      <c r="AE136" s="115">
        <f>+X149</f>
        <v>2440.9148006505275</v>
      </c>
      <c r="AF136" s="115">
        <f>+Y149</f>
        <v>2543.1793796319907</v>
      </c>
    </row>
    <row r="137" spans="1:32" x14ac:dyDescent="0.3">
      <c r="A137" s="92" t="s">
        <v>240</v>
      </c>
      <c r="B137" s="93"/>
      <c r="C137" s="94"/>
      <c r="D137" s="93"/>
      <c r="E137" s="93"/>
      <c r="F137" s="93"/>
      <c r="G137" s="109" t="s">
        <v>251</v>
      </c>
      <c r="H137" s="12"/>
      <c r="I137" s="7"/>
      <c r="J137" s="7"/>
      <c r="K137" s="7"/>
      <c r="L137" s="7"/>
      <c r="O137" s="45" t="s">
        <v>286</v>
      </c>
      <c r="P137" s="7"/>
      <c r="Q137" s="7"/>
      <c r="R137" s="61"/>
      <c r="S137" s="61"/>
      <c r="T137" s="61" t="s">
        <v>220</v>
      </c>
      <c r="U137" s="77">
        <f>-U138+U139-U136</f>
        <v>6725.0569999999998</v>
      </c>
      <c r="V137" s="77">
        <f t="shared" ref="V137:Y137" si="14">-V138+V139-V136</f>
        <v>6650.2505700000002</v>
      </c>
      <c r="W137" s="77">
        <f t="shared" si="14"/>
        <v>6788.7161513999999</v>
      </c>
      <c r="X137" s="77">
        <f t="shared" si="14"/>
        <v>6924.4904744280011</v>
      </c>
      <c r="Y137" s="77">
        <f t="shared" si="14"/>
        <v>7062.9802839165604</v>
      </c>
      <c r="AA137" s="6" t="s">
        <v>113</v>
      </c>
      <c r="AB137" s="115">
        <f>+U167</f>
        <v>18000</v>
      </c>
      <c r="AC137" s="115">
        <f>+V167</f>
        <v>12000</v>
      </c>
      <c r="AD137" s="115">
        <f>+W167</f>
        <v>6000</v>
      </c>
      <c r="AE137" s="115">
        <f>+X167</f>
        <v>28266</v>
      </c>
      <c r="AF137" s="115">
        <f>+Y167</f>
        <v>22266</v>
      </c>
    </row>
    <row r="138" spans="1:32" x14ac:dyDescent="0.3">
      <c r="A138" s="95"/>
      <c r="B138" s="7"/>
      <c r="C138" s="12"/>
      <c r="D138" s="7"/>
      <c r="E138" s="7"/>
      <c r="F138" s="7"/>
      <c r="G138" s="96"/>
      <c r="H138" s="12"/>
      <c r="I138" s="7"/>
      <c r="J138" s="7"/>
      <c r="K138" s="7"/>
      <c r="L138" s="7"/>
      <c r="O138" s="45" t="s">
        <v>71</v>
      </c>
      <c r="P138" s="7"/>
      <c r="Q138" s="7"/>
      <c r="R138" s="61"/>
      <c r="S138" s="61"/>
      <c r="T138" s="61" t="s">
        <v>218</v>
      </c>
      <c r="U138" s="77">
        <f>+-U120</f>
        <v>-6579</v>
      </c>
      <c r="V138" s="77">
        <f>+-V120</f>
        <v>-6644.79</v>
      </c>
      <c r="W138" s="77">
        <f>+-W120</f>
        <v>-6777.6858000000002</v>
      </c>
      <c r="X138" s="77">
        <f>+-X120</f>
        <v>-6913.2395160000005</v>
      </c>
      <c r="Y138" s="77">
        <f>+-Y120</f>
        <v>-7051.504306320001</v>
      </c>
      <c r="AA138" s="7"/>
      <c r="AB138" s="90">
        <f>SUM(AB134:AB137)</f>
        <v>33162.534104155617</v>
      </c>
      <c r="AC138" s="90">
        <f t="shared" ref="AC138:AF138" si="15">SUM(AC134:AC137)</f>
        <v>33085.721468600255</v>
      </c>
      <c r="AD138" s="90">
        <f t="shared" si="15"/>
        <v>35474.679976166197</v>
      </c>
      <c r="AE138" s="90">
        <f t="shared" si="15"/>
        <v>35952.259761624031</v>
      </c>
      <c r="AF138" s="90">
        <f t="shared" si="15"/>
        <v>39928.562878804019</v>
      </c>
    </row>
    <row r="139" spans="1:32" x14ac:dyDescent="0.3">
      <c r="A139" s="97" t="s">
        <v>241</v>
      </c>
      <c r="B139" s="7"/>
      <c r="C139" s="12"/>
      <c r="D139" s="7"/>
      <c r="E139" s="7"/>
      <c r="F139" s="7"/>
      <c r="G139" s="98">
        <f>+G135</f>
        <v>1552</v>
      </c>
      <c r="H139" s="12"/>
      <c r="I139" s="7"/>
      <c r="J139" s="7"/>
      <c r="K139" s="7"/>
      <c r="L139" s="7"/>
      <c r="O139" s="45" t="s">
        <v>239</v>
      </c>
      <c r="P139" s="7"/>
      <c r="Q139" s="7"/>
      <c r="R139" s="61"/>
      <c r="S139" s="61"/>
      <c r="T139" s="61" t="s">
        <v>219</v>
      </c>
      <c r="U139" s="80">
        <f>U120*G171</f>
        <v>546.05700000000002</v>
      </c>
      <c r="V139" s="80">
        <f>V120*H171</f>
        <v>551.51756999999998</v>
      </c>
      <c r="W139" s="80">
        <f>W120*I171</f>
        <v>562.54792140000006</v>
      </c>
      <c r="X139" s="80">
        <f>X120*J171</f>
        <v>573.79887982800005</v>
      </c>
      <c r="Y139" s="80">
        <f>Y120*K171</f>
        <v>585.27485742456008</v>
      </c>
    </row>
    <row r="140" spans="1:32" x14ac:dyDescent="0.3">
      <c r="A140" s="97" t="s">
        <v>142</v>
      </c>
      <c r="B140" s="7"/>
      <c r="C140" s="12"/>
      <c r="D140" s="7"/>
      <c r="E140" s="7"/>
      <c r="F140" s="7"/>
      <c r="G140" s="98">
        <f>+G123*G124</f>
        <v>1720</v>
      </c>
      <c r="H140" s="12"/>
      <c r="I140" s="7"/>
      <c r="J140" s="7"/>
      <c r="K140" s="7"/>
      <c r="L140" s="7"/>
      <c r="O140" s="45"/>
      <c r="P140" s="7"/>
      <c r="Q140" s="7"/>
      <c r="R140" s="61"/>
      <c r="S140" s="61"/>
      <c r="T140" s="82" t="s">
        <v>221</v>
      </c>
      <c r="U140" s="77">
        <f>SUM(U136:U138)-U139</f>
        <v>0</v>
      </c>
      <c r="V140" s="77">
        <f t="shared" ref="V140:Y140" si="16">SUM(V136:V138)-V139</f>
        <v>0</v>
      </c>
      <c r="W140" s="77">
        <f t="shared" si="16"/>
        <v>0</v>
      </c>
      <c r="X140" s="77">
        <f t="shared" si="16"/>
        <v>0</v>
      </c>
      <c r="Y140" s="77">
        <f t="shared" si="16"/>
        <v>0</v>
      </c>
      <c r="AA140" s="6" t="s">
        <v>299</v>
      </c>
      <c r="AB140" s="115">
        <f>+U174</f>
        <v>2440.657686439999</v>
      </c>
      <c r="AC140" s="115">
        <f>+V174</f>
        <v>2718.2144401435285</v>
      </c>
      <c r="AD140" s="115">
        <f>+W174</f>
        <v>2768.2817086624145</v>
      </c>
      <c r="AE140" s="115">
        <f>+X174</f>
        <v>2955.6528561132309</v>
      </c>
      <c r="AF140" s="115">
        <f>+Y174</f>
        <v>3074.2979996234362</v>
      </c>
    </row>
    <row r="141" spans="1:32" x14ac:dyDescent="0.3">
      <c r="A141" s="99" t="s">
        <v>244</v>
      </c>
      <c r="B141" s="86"/>
      <c r="C141" s="87"/>
      <c r="D141" s="86"/>
      <c r="E141" s="86"/>
      <c r="F141" s="86"/>
      <c r="G141" s="100">
        <f>+G139+G140</f>
        <v>3272</v>
      </c>
      <c r="H141" s="12"/>
      <c r="I141" s="7"/>
      <c r="J141" s="7"/>
      <c r="K141" s="7"/>
      <c r="L141" s="7"/>
      <c r="O141" s="45" t="s">
        <v>222</v>
      </c>
      <c r="P141" s="7"/>
      <c r="Q141" s="7"/>
      <c r="R141" s="61"/>
      <c r="S141" s="61"/>
      <c r="T141" s="61"/>
      <c r="U141" s="67">
        <f>G186</f>
        <v>3.6291999999999995</v>
      </c>
      <c r="V141" s="67">
        <f>+H185</f>
        <v>4.0873864999999983</v>
      </c>
      <c r="W141" s="67">
        <f>+I186</f>
        <v>4.0777691199999984</v>
      </c>
      <c r="X141" s="67">
        <f>+J187</f>
        <v>4.2684048263599985</v>
      </c>
      <c r="Y141" s="67">
        <f>+K188</f>
        <v>4.3526923140703984</v>
      </c>
      <c r="AA141" s="6" t="s">
        <v>300</v>
      </c>
      <c r="AB141" s="115">
        <f>+U196</f>
        <v>460.60642499999994</v>
      </c>
      <c r="AC141" s="115">
        <f>+V196</f>
        <v>493.04713418733769</v>
      </c>
      <c r="AD141" s="115">
        <f>+W196</f>
        <v>530.2878057360233</v>
      </c>
      <c r="AE141" s="115">
        <f>+X196</f>
        <v>567.71515660717762</v>
      </c>
      <c r="AF141" s="115">
        <f>+Y196</f>
        <v>608.53443573793641</v>
      </c>
    </row>
    <row r="142" spans="1:32" x14ac:dyDescent="0.3">
      <c r="A142" s="97" t="s">
        <v>113</v>
      </c>
      <c r="B142" s="7"/>
      <c r="C142" s="12"/>
      <c r="D142" s="7"/>
      <c r="E142" s="7"/>
      <c r="F142" s="7"/>
      <c r="G142" s="98">
        <f>+G122</f>
        <v>24000</v>
      </c>
      <c r="H142" s="12"/>
      <c r="I142" s="7"/>
      <c r="J142" s="7"/>
      <c r="K142" s="7"/>
      <c r="L142" s="7"/>
      <c r="O142" s="83" t="s">
        <v>223</v>
      </c>
      <c r="P142" s="7"/>
      <c r="Q142" s="7"/>
      <c r="R142" s="61"/>
      <c r="S142" s="61"/>
      <c r="T142" s="61"/>
      <c r="U142" s="61"/>
      <c r="V142" s="61"/>
      <c r="W142" s="54"/>
      <c r="X142" s="54"/>
      <c r="Y142" s="54"/>
      <c r="AA142" s="6" t="s">
        <v>301</v>
      </c>
      <c r="AB142" s="115">
        <f>+U204</f>
        <v>188.40796355955854</v>
      </c>
      <c r="AC142" s="115">
        <f>+V204</f>
        <v>163.53584086510182</v>
      </c>
      <c r="AD142" s="115">
        <f>+W204</f>
        <v>1117.4006482894047</v>
      </c>
      <c r="AE142" s="115">
        <f>+X204</f>
        <v>1229.2753456702812</v>
      </c>
      <c r="AF142" s="115">
        <f>+Y204</f>
        <v>2632.0065158694474</v>
      </c>
    </row>
    <row r="143" spans="1:32" x14ac:dyDescent="0.3">
      <c r="A143" s="101" t="s">
        <v>245</v>
      </c>
      <c r="B143" s="102"/>
      <c r="C143" s="103"/>
      <c r="D143" s="102"/>
      <c r="E143" s="102"/>
      <c r="F143" s="102"/>
      <c r="G143" s="104">
        <f>+G141+G142</f>
        <v>27272</v>
      </c>
      <c r="H143" s="12"/>
      <c r="I143" s="7"/>
      <c r="J143" s="7"/>
      <c r="K143" s="7"/>
      <c r="L143" s="7"/>
      <c r="O143" s="83"/>
      <c r="P143" s="7"/>
      <c r="Q143" s="7"/>
      <c r="R143" s="61"/>
      <c r="S143" s="61"/>
      <c r="T143" s="61"/>
      <c r="U143" s="61"/>
      <c r="V143" s="61"/>
      <c r="W143" s="54"/>
      <c r="X143" s="54"/>
      <c r="Y143" s="54"/>
      <c r="AA143" s="6" t="s">
        <v>302</v>
      </c>
      <c r="AB143" s="115">
        <f>+U183</f>
        <v>10232.794025402591</v>
      </c>
      <c r="AC143" s="115">
        <f>+V183</f>
        <v>8122.8512741075192</v>
      </c>
      <c r="AD143" s="115">
        <f>+W183</f>
        <v>5738.6159651440867</v>
      </c>
      <c r="AE143" s="115">
        <f>+X183</f>
        <v>3044.430066015409</v>
      </c>
      <c r="AF143" s="115">
        <f>+Y183</f>
        <v>0</v>
      </c>
    </row>
    <row r="144" spans="1:32" x14ac:dyDescent="0.3">
      <c r="A144" s="97"/>
      <c r="B144" s="7"/>
      <c r="C144" s="12"/>
      <c r="D144" s="7"/>
      <c r="E144" s="7"/>
      <c r="F144" s="7"/>
      <c r="G144" s="98"/>
      <c r="H144" s="12"/>
      <c r="I144" s="7"/>
      <c r="J144" s="7"/>
      <c r="K144" s="7"/>
      <c r="L144" s="7"/>
      <c r="O144" s="66" t="s">
        <v>252</v>
      </c>
      <c r="P144" s="7"/>
      <c r="Q144" s="7"/>
      <c r="R144" s="61"/>
      <c r="S144" s="61"/>
      <c r="T144" s="61"/>
      <c r="U144" s="61"/>
      <c r="V144" s="61"/>
      <c r="W144" s="54"/>
      <c r="X144" s="54"/>
      <c r="Y144" s="54"/>
      <c r="AA144" s="6" t="s">
        <v>118</v>
      </c>
      <c r="AB144" s="115">
        <f>+G151</f>
        <v>15000</v>
      </c>
      <c r="AC144" s="115">
        <f>+AB144</f>
        <v>15000</v>
      </c>
      <c r="AD144" s="115">
        <f t="shared" ref="AD144:AF144" si="17">+AC144</f>
        <v>15000</v>
      </c>
      <c r="AE144" s="115">
        <f t="shared" si="17"/>
        <v>15000</v>
      </c>
      <c r="AF144" s="115">
        <f t="shared" si="17"/>
        <v>15000</v>
      </c>
    </row>
    <row r="145" spans="1:32" x14ac:dyDescent="0.3">
      <c r="A145" s="97" t="s">
        <v>242</v>
      </c>
      <c r="B145" s="7"/>
      <c r="C145" s="12"/>
      <c r="D145" s="7"/>
      <c r="E145" s="7"/>
      <c r="F145" s="7"/>
      <c r="G145" s="98">
        <f>G140*(1-G175)</f>
        <v>171.99999999999997</v>
      </c>
      <c r="H145" s="12"/>
      <c r="I145" s="7"/>
      <c r="J145" s="7"/>
      <c r="K145" s="7"/>
      <c r="L145" s="7"/>
      <c r="O145" s="52" t="s">
        <v>224</v>
      </c>
      <c r="P145" s="7"/>
      <c r="Q145" s="7"/>
      <c r="R145" s="61"/>
      <c r="S145" s="61"/>
      <c r="T145" s="61"/>
      <c r="U145" s="61"/>
      <c r="V145" s="61"/>
      <c r="W145" s="54"/>
      <c r="X145" s="54"/>
      <c r="Y145" s="54"/>
      <c r="AA145" s="6" t="s">
        <v>303</v>
      </c>
      <c r="AB145" s="115">
        <f>+U211</f>
        <v>4840.0680037534676</v>
      </c>
      <c r="AC145" s="115">
        <f>+V211</f>
        <v>6588.0727792967673</v>
      </c>
      <c r="AD145" s="115">
        <f>+W211</f>
        <v>10320.093848334265</v>
      </c>
      <c r="AE145" s="115">
        <f>+X211</f>
        <v>13155.186337217929</v>
      </c>
      <c r="AF145" s="115">
        <f>+Y211</f>
        <v>18613.723927573214</v>
      </c>
    </row>
    <row r="146" spans="1:32" x14ac:dyDescent="0.3">
      <c r="A146" s="99" t="s">
        <v>246</v>
      </c>
      <c r="B146" s="86"/>
      <c r="C146" s="87"/>
      <c r="D146" s="86"/>
      <c r="E146" s="86"/>
      <c r="F146" s="86"/>
      <c r="G146" s="100">
        <f>+G145</f>
        <v>171.99999999999997</v>
      </c>
      <c r="H146" s="12"/>
      <c r="I146" s="7"/>
      <c r="J146" s="7"/>
      <c r="K146" s="7"/>
      <c r="L146" s="7"/>
      <c r="O146" s="66" t="s">
        <v>213</v>
      </c>
      <c r="P146" s="7"/>
      <c r="Q146" s="7"/>
      <c r="R146" s="61"/>
      <c r="S146" s="61"/>
      <c r="T146" s="61"/>
      <c r="U146" s="110">
        <f>+G140</f>
        <v>1720</v>
      </c>
      <c r="V146" s="80">
        <f>+U149</f>
        <v>2002.3138317130179</v>
      </c>
      <c r="W146" s="80">
        <f t="shared" ref="W146:Y146" si="18">+V149</f>
        <v>2236.6666974619693</v>
      </c>
      <c r="X146" s="80">
        <f t="shared" si="18"/>
        <v>2292.9982955486157</v>
      </c>
      <c r="Y146" s="80">
        <f t="shared" si="18"/>
        <v>2440.9148006505275</v>
      </c>
      <c r="AA146" s="7"/>
      <c r="AB146" s="90">
        <f>SUM(AB140:AB145)</f>
        <v>33162.534104155617</v>
      </c>
      <c r="AC146" s="90">
        <f>SUM(AC140:AC145)</f>
        <v>33085.721468600255</v>
      </c>
      <c r="AD146" s="90">
        <f>SUM(AD140:AD145)</f>
        <v>35474.679976166197</v>
      </c>
      <c r="AE146" s="90">
        <f>SUM(AE140:AE145)</f>
        <v>35952.259761624024</v>
      </c>
      <c r="AF146" s="90">
        <f>SUM(AF140:AF145)</f>
        <v>39928.562878804034</v>
      </c>
    </row>
    <row r="147" spans="1:32" x14ac:dyDescent="0.3">
      <c r="A147" s="97" t="s">
        <v>243</v>
      </c>
      <c r="B147" s="7"/>
      <c r="C147" s="12"/>
      <c r="D147" s="7"/>
      <c r="E147" s="7"/>
      <c r="F147" s="7"/>
      <c r="G147" s="98">
        <f>G134</f>
        <v>12100</v>
      </c>
      <c r="H147" s="12"/>
      <c r="I147" s="7"/>
      <c r="J147" s="7"/>
      <c r="K147" s="7"/>
      <c r="L147" s="7"/>
      <c r="O147" s="45" t="s">
        <v>253</v>
      </c>
      <c r="P147" s="7"/>
      <c r="Q147" s="7"/>
      <c r="R147" s="61"/>
      <c r="S147" s="61"/>
      <c r="T147" s="61"/>
      <c r="U147" s="77">
        <f>+U137*U141</f>
        <v>24406.576864399995</v>
      </c>
      <c r="V147" s="77">
        <f>+V137*V141</f>
        <v>27182.144401435293</v>
      </c>
      <c r="W147" s="77">
        <f>+W137*W141</f>
        <v>27682.817086624153</v>
      </c>
      <c r="X147" s="77">
        <f>+X137*X141</f>
        <v>29556.528561132316</v>
      </c>
      <c r="Y147" s="77">
        <f>+Y137*Y141</f>
        <v>30742.979996234371</v>
      </c>
      <c r="AB147" s="115">
        <f>+AB138-AB146</f>
        <v>0</v>
      </c>
      <c r="AC147" s="115">
        <f>+AC138-AC146</f>
        <v>0</v>
      </c>
      <c r="AD147" s="115">
        <f>+AD138-AD146</f>
        <v>0</v>
      </c>
      <c r="AE147" s="115">
        <f>+AE138-AE146</f>
        <v>0</v>
      </c>
      <c r="AF147" s="115">
        <f>+AF138-AF146</f>
        <v>0</v>
      </c>
    </row>
    <row r="148" spans="1:32" x14ac:dyDescent="0.3">
      <c r="A148" s="99" t="s">
        <v>247</v>
      </c>
      <c r="B148" s="86"/>
      <c r="C148" s="87"/>
      <c r="D148" s="86"/>
      <c r="E148" s="86"/>
      <c r="F148" s="86"/>
      <c r="G148" s="100">
        <f>+G147</f>
        <v>12100</v>
      </c>
      <c r="H148" s="12"/>
      <c r="I148" s="7"/>
      <c r="J148" s="7"/>
      <c r="K148" s="7"/>
      <c r="L148" s="7"/>
      <c r="O148" s="45" t="s">
        <v>254</v>
      </c>
      <c r="P148" s="7"/>
      <c r="Q148" s="7"/>
      <c r="R148" s="61"/>
      <c r="S148" s="61"/>
      <c r="T148" s="61"/>
      <c r="U148" s="77">
        <f>(U146+U147)/(U136+U137)*U138</f>
        <v>-24124.263032686977</v>
      </c>
      <c r="V148" s="77">
        <f>(V146+V147)/(V136+V137)*V138</f>
        <v>-26947.791535686341</v>
      </c>
      <c r="W148" s="77">
        <f t="shared" ref="W148:Y148" si="19">(W146+W147)/(W136+W137)*W138</f>
        <v>-27626.485488537506</v>
      </c>
      <c r="X148" s="77">
        <f t="shared" si="19"/>
        <v>-29408.612056030404</v>
      </c>
      <c r="Y148" s="77">
        <f t="shared" si="19"/>
        <v>-30640.715417252904</v>
      </c>
    </row>
    <row r="149" spans="1:32" x14ac:dyDescent="0.3">
      <c r="A149" s="99" t="s">
        <v>248</v>
      </c>
      <c r="B149" s="86"/>
      <c r="C149" s="87"/>
      <c r="D149" s="86"/>
      <c r="E149" s="86"/>
      <c r="F149" s="86"/>
      <c r="G149" s="100">
        <f>+G146+G148</f>
        <v>12272</v>
      </c>
      <c r="H149" s="12"/>
      <c r="I149" s="7"/>
      <c r="J149" s="7"/>
      <c r="K149" s="7"/>
      <c r="L149" s="7"/>
      <c r="O149" s="66" t="s">
        <v>214</v>
      </c>
      <c r="P149" s="7"/>
      <c r="Q149" s="7"/>
      <c r="R149" s="61"/>
      <c r="S149" s="61"/>
      <c r="T149" s="61"/>
      <c r="U149" s="80">
        <f>SUM(U146:U148)</f>
        <v>2002.3138317130179</v>
      </c>
      <c r="V149" s="80">
        <f t="shared" ref="V149:Y149" si="20">SUM(V146:V148)</f>
        <v>2236.6666974619693</v>
      </c>
      <c r="W149" s="80">
        <f t="shared" si="20"/>
        <v>2292.9982955486157</v>
      </c>
      <c r="X149" s="80">
        <f t="shared" si="20"/>
        <v>2440.9148006505275</v>
      </c>
      <c r="Y149" s="80">
        <f t="shared" si="20"/>
        <v>2543.1793796319907</v>
      </c>
      <c r="AA149" s="122" t="s">
        <v>305</v>
      </c>
      <c r="AB149" s="11"/>
      <c r="AC149" s="11"/>
      <c r="AD149" s="11"/>
      <c r="AE149" s="11"/>
      <c r="AF149" s="11"/>
    </row>
    <row r="150" spans="1:32" x14ac:dyDescent="0.3">
      <c r="A150" s="97" t="s">
        <v>250</v>
      </c>
      <c r="B150" s="7"/>
      <c r="C150" s="12"/>
      <c r="D150" s="7"/>
      <c r="E150" s="7"/>
      <c r="F150" s="7"/>
      <c r="G150" s="98"/>
      <c r="H150" s="12"/>
      <c r="I150" s="7"/>
      <c r="J150" s="7"/>
      <c r="K150" s="7"/>
      <c r="L150" s="7"/>
      <c r="O150" s="83"/>
      <c r="P150" s="7"/>
      <c r="Q150" s="7"/>
      <c r="R150" s="61"/>
      <c r="S150" s="61"/>
      <c r="T150" s="61"/>
      <c r="U150" s="61"/>
      <c r="V150" s="61"/>
      <c r="W150" s="54"/>
      <c r="X150" s="54"/>
      <c r="Y150" s="54"/>
      <c r="AA150" s="86"/>
      <c r="AB150" s="79" t="s">
        <v>68</v>
      </c>
      <c r="AC150" s="79" t="s">
        <v>69</v>
      </c>
      <c r="AD150" s="79" t="s">
        <v>70</v>
      </c>
      <c r="AE150" s="79" t="s">
        <v>76</v>
      </c>
      <c r="AF150" s="79" t="s">
        <v>127</v>
      </c>
    </row>
    <row r="151" spans="1:32" x14ac:dyDescent="0.3">
      <c r="A151" s="97" t="s">
        <v>118</v>
      </c>
      <c r="B151" s="7"/>
      <c r="C151" s="12"/>
      <c r="D151" s="7"/>
      <c r="E151" s="7"/>
      <c r="F151" s="7"/>
      <c r="G151" s="98">
        <f>+G131</f>
        <v>15000</v>
      </c>
      <c r="H151" s="12"/>
      <c r="I151" s="7"/>
      <c r="J151" s="7"/>
      <c r="K151" s="7"/>
      <c r="L151" s="7"/>
      <c r="O151" s="83" t="s">
        <v>225</v>
      </c>
      <c r="P151" s="7"/>
      <c r="Q151" s="7"/>
      <c r="R151" s="61"/>
      <c r="S151" s="61"/>
      <c r="T151" s="61"/>
      <c r="U151" s="67">
        <f>+U149/U139</f>
        <v>3.6668586460992492</v>
      </c>
      <c r="V151" s="67">
        <f>+V149/V139</f>
        <v>4.0554767773979883</v>
      </c>
      <c r="W151" s="67">
        <f>+W149/W139</f>
        <v>4.0760941571734612</v>
      </c>
      <c r="X151" s="67">
        <f>+X149/X139</f>
        <v>4.2539553255701854</v>
      </c>
      <c r="Y151" s="67">
        <f>+Y149/Y139</f>
        <v>4.3452735879053161</v>
      </c>
      <c r="AA151" s="121" t="s">
        <v>306</v>
      </c>
      <c r="AB151" s="115"/>
      <c r="AC151" s="115"/>
      <c r="AD151" s="115"/>
      <c r="AE151" s="115"/>
      <c r="AF151" s="115"/>
    </row>
    <row r="152" spans="1:32" ht="18" thickBot="1" x14ac:dyDescent="0.35">
      <c r="A152" s="105" t="s">
        <v>249</v>
      </c>
      <c r="B152" s="106"/>
      <c r="C152" s="107"/>
      <c r="D152" s="106"/>
      <c r="E152" s="106"/>
      <c r="F152" s="106"/>
      <c r="G152" s="108">
        <f>+G149+G151</f>
        <v>27272</v>
      </c>
      <c r="H152" s="12"/>
      <c r="I152" s="7"/>
      <c r="J152" s="7"/>
      <c r="K152" s="7"/>
      <c r="L152" s="7"/>
      <c r="O152" s="83"/>
      <c r="P152" s="7"/>
      <c r="Q152" s="7"/>
      <c r="R152" s="61"/>
      <c r="S152" s="61"/>
      <c r="T152" s="61"/>
      <c r="U152" s="67"/>
      <c r="V152" s="67"/>
      <c r="W152" s="67"/>
      <c r="X152" s="67"/>
      <c r="Y152" s="67"/>
      <c r="Z152" s="8"/>
      <c r="AA152" s="6" t="s">
        <v>83</v>
      </c>
      <c r="AB152" s="115">
        <f>+U217</f>
        <v>45937.8675</v>
      </c>
      <c r="AC152" s="115">
        <f t="shared" ref="AC152:AF152" si="21">+V217</f>
        <v>51856.368161771257</v>
      </c>
      <c r="AD152" s="115">
        <f t="shared" si="21"/>
        <v>56334.901475242121</v>
      </c>
      <c r="AE152" s="115">
        <f t="shared" si="21"/>
        <v>60951.429335560148</v>
      </c>
      <c r="AF152" s="115">
        <f t="shared" si="21"/>
        <v>65931.770626568774</v>
      </c>
    </row>
    <row r="153" spans="1:32" x14ac:dyDescent="0.3">
      <c r="A153" s="12"/>
      <c r="B153" s="7"/>
      <c r="C153" s="12"/>
      <c r="D153" s="7"/>
      <c r="E153" s="7"/>
      <c r="F153" s="7"/>
      <c r="G153" s="7"/>
      <c r="H153" s="12"/>
      <c r="I153" s="7"/>
      <c r="J153" s="7"/>
      <c r="K153" s="7"/>
      <c r="L153" s="7"/>
      <c r="O153" s="83"/>
      <c r="P153" s="7"/>
      <c r="Q153" s="7"/>
      <c r="R153" s="61"/>
      <c r="S153" s="61"/>
      <c r="T153" s="61"/>
      <c r="U153" s="67"/>
      <c r="V153" s="67"/>
      <c r="W153" s="67"/>
      <c r="X153" s="67"/>
      <c r="Y153" s="67"/>
      <c r="AA153" s="6" t="s">
        <v>89</v>
      </c>
      <c r="AB153" s="115">
        <f t="shared" ref="AB153:AF153" si="22">+U218</f>
        <v>-22137.919177959997</v>
      </c>
      <c r="AC153" s="115">
        <f t="shared" si="22"/>
        <v>-26904.587647731762</v>
      </c>
      <c r="AD153" s="115">
        <f t="shared" si="22"/>
        <v>-27632.749818105265</v>
      </c>
      <c r="AE153" s="115">
        <f t="shared" si="22"/>
        <v>-29369.157413681503</v>
      </c>
      <c r="AF153" s="115">
        <f t="shared" si="22"/>
        <v>-30624.334852724169</v>
      </c>
    </row>
    <row r="154" spans="1:32" x14ac:dyDescent="0.3">
      <c r="A154" s="12"/>
      <c r="B154" s="7"/>
      <c r="C154" s="12"/>
      <c r="D154" s="7"/>
      <c r="E154" s="7"/>
      <c r="F154" s="7"/>
      <c r="G154" s="7"/>
      <c r="H154" s="12"/>
      <c r="I154" s="7"/>
      <c r="J154" s="7"/>
      <c r="K154" s="7"/>
      <c r="L154" s="7"/>
      <c r="O154" s="111" t="s">
        <v>260</v>
      </c>
      <c r="P154" s="112"/>
      <c r="Q154" s="112"/>
      <c r="R154" s="113"/>
      <c r="S154" s="61"/>
      <c r="T154" s="61"/>
      <c r="U154" s="67"/>
      <c r="V154" s="67"/>
      <c r="W154" s="67"/>
      <c r="X154" s="67"/>
      <c r="Y154" s="67"/>
      <c r="AA154" s="6" t="s">
        <v>293</v>
      </c>
      <c r="AB154" s="115">
        <f t="shared" ref="AB154:AF154" si="23">+U219</f>
        <v>-8751.5220749999989</v>
      </c>
      <c r="AC154" s="115">
        <f t="shared" si="23"/>
        <v>-9828.5019745594109</v>
      </c>
      <c r="AD154" s="115">
        <f t="shared" si="23"/>
        <v>-10568.515443171789</v>
      </c>
      <c r="AE154" s="115">
        <f t="shared" si="23"/>
        <v>-11316.875781272411</v>
      </c>
      <c r="AF154" s="115">
        <f t="shared" si="23"/>
        <v>-12129.869435628008</v>
      </c>
    </row>
    <row r="155" spans="1:32" s="8" customFormat="1" x14ac:dyDescent="0.3">
      <c r="A155" s="52" t="s">
        <v>125</v>
      </c>
      <c r="B155" s="44"/>
      <c r="C155" s="53"/>
      <c r="D155" s="44"/>
      <c r="E155" s="44"/>
      <c r="F155" s="54" t="s">
        <v>126</v>
      </c>
      <c r="G155" s="54" t="s">
        <v>68</v>
      </c>
      <c r="H155" s="54" t="s">
        <v>69</v>
      </c>
      <c r="I155" s="54" t="s">
        <v>70</v>
      </c>
      <c r="J155" s="54" t="s">
        <v>76</v>
      </c>
      <c r="K155" s="54" t="s">
        <v>127</v>
      </c>
      <c r="L155" s="44"/>
      <c r="O155" s="52" t="s">
        <v>211</v>
      </c>
      <c r="P155" s="7"/>
      <c r="Q155" s="7"/>
      <c r="R155" s="61"/>
      <c r="S155" s="61"/>
      <c r="T155" s="54" t="s">
        <v>126</v>
      </c>
      <c r="U155" s="54" t="s">
        <v>68</v>
      </c>
      <c r="V155" s="54" t="s">
        <v>69</v>
      </c>
      <c r="W155" s="54" t="s">
        <v>70</v>
      </c>
      <c r="X155" s="54" t="s">
        <v>76</v>
      </c>
      <c r="Y155" s="54" t="s">
        <v>127</v>
      </c>
      <c r="Z155" s="6"/>
      <c r="AA155" s="6" t="s">
        <v>294</v>
      </c>
      <c r="AB155" s="115">
        <f t="shared" ref="AB155:AF155" si="24">+U220</f>
        <v>-2417.7825000000003</v>
      </c>
      <c r="AC155" s="115">
        <f t="shared" si="24"/>
        <v>-2790.4387878633092</v>
      </c>
      <c r="AD155" s="115">
        <f t="shared" si="24"/>
        <v>-2991.5816645987006</v>
      </c>
      <c r="AE155" s="115">
        <f t="shared" si="24"/>
        <v>-4176.5260962802759</v>
      </c>
      <c r="AF155" s="115">
        <f t="shared" si="24"/>
        <v>-4538.3619340164878</v>
      </c>
    </row>
    <row r="156" spans="1:32" x14ac:dyDescent="0.3">
      <c r="A156" s="45" t="s">
        <v>137</v>
      </c>
      <c r="B156" s="7"/>
      <c r="C156" s="12"/>
      <c r="D156" s="7"/>
      <c r="E156" s="7"/>
      <c r="F156" s="46">
        <v>2184</v>
      </c>
      <c r="G156" s="46"/>
      <c r="H156" s="46"/>
      <c r="I156" s="46"/>
      <c r="J156" s="46"/>
      <c r="K156" s="46"/>
      <c r="L156" s="7"/>
      <c r="O156" s="52"/>
      <c r="P156" s="7"/>
      <c r="Q156" s="7"/>
      <c r="R156" s="61"/>
      <c r="S156" s="61"/>
      <c r="T156" s="61"/>
      <c r="U156" s="61"/>
      <c r="V156" s="61"/>
      <c r="W156" s="54"/>
      <c r="X156" s="77"/>
      <c r="Y156" s="54"/>
      <c r="AA156" s="7"/>
      <c r="AB156" s="90">
        <f>SUM(AB151:AB155)</f>
        <v>12630.643747040005</v>
      </c>
      <c r="AC156" s="90">
        <f t="shared" ref="AC156:AF156" si="25">SUM(AC151:AC155)</f>
        <v>12332.839751616775</v>
      </c>
      <c r="AD156" s="90">
        <f t="shared" si="25"/>
        <v>15142.054549366367</v>
      </c>
      <c r="AE156" s="90">
        <f t="shared" si="25"/>
        <v>16088.870044325959</v>
      </c>
      <c r="AF156" s="90">
        <f t="shared" si="25"/>
        <v>18639.204404200107</v>
      </c>
    </row>
    <row r="157" spans="1:32" x14ac:dyDescent="0.3">
      <c r="A157" s="45" t="s">
        <v>138</v>
      </c>
      <c r="B157" s="7"/>
      <c r="C157" s="12"/>
      <c r="D157" s="7"/>
      <c r="E157" s="7"/>
      <c r="F157" s="46">
        <v>2400</v>
      </c>
      <c r="G157" s="46"/>
      <c r="H157" s="46"/>
      <c r="I157" s="46"/>
      <c r="J157" s="46"/>
      <c r="K157" s="46"/>
      <c r="L157" s="7"/>
      <c r="O157" s="66" t="s">
        <v>212</v>
      </c>
      <c r="P157" s="7"/>
      <c r="Q157" s="7"/>
      <c r="R157" s="61"/>
      <c r="S157" s="61"/>
      <c r="T157" s="61"/>
      <c r="U157" s="61"/>
      <c r="V157" s="61"/>
      <c r="W157" s="54"/>
      <c r="X157" s="77"/>
      <c r="Y157" s="54"/>
      <c r="AA157" s="121" t="s">
        <v>307</v>
      </c>
      <c r="AB157" s="115"/>
      <c r="AC157" s="115"/>
      <c r="AD157" s="115"/>
      <c r="AE157" s="115"/>
      <c r="AF157" s="115"/>
    </row>
    <row r="158" spans="1:32" x14ac:dyDescent="0.3">
      <c r="A158" s="45" t="s">
        <v>136</v>
      </c>
      <c r="B158" s="7"/>
      <c r="C158" s="12"/>
      <c r="D158" s="7"/>
      <c r="E158" s="7"/>
      <c r="F158" s="46"/>
      <c r="G158" s="51">
        <v>0.05</v>
      </c>
      <c r="H158" s="51">
        <v>5.5E-2</v>
      </c>
      <c r="I158" s="51">
        <v>5.5E-2</v>
      </c>
      <c r="J158" s="51">
        <v>0.05</v>
      </c>
      <c r="K158" s="51">
        <v>0.05</v>
      </c>
      <c r="L158" s="7"/>
      <c r="O158" s="45" t="s">
        <v>236</v>
      </c>
      <c r="P158" s="7"/>
      <c r="Q158" s="7"/>
      <c r="R158" s="61"/>
      <c r="S158" s="61"/>
      <c r="T158" s="61"/>
      <c r="U158" s="81">
        <f>+G142</f>
        <v>24000</v>
      </c>
      <c r="V158" s="80">
        <f>+U161</f>
        <v>24000</v>
      </c>
      <c r="W158" s="80">
        <f t="shared" ref="W158:Y158" si="26">+V161</f>
        <v>24000</v>
      </c>
      <c r="X158" s="80">
        <f t="shared" si="26"/>
        <v>24000</v>
      </c>
      <c r="Y158" s="80">
        <f t="shared" si="26"/>
        <v>53687</v>
      </c>
      <c r="AA158" s="6" t="s">
        <v>288</v>
      </c>
      <c r="AB158" s="115">
        <f>+U224</f>
        <v>0</v>
      </c>
      <c r="AC158" s="115">
        <f t="shared" ref="AC158:AF158" si="27">+V224</f>
        <v>0</v>
      </c>
      <c r="AD158" s="115">
        <f t="shared" si="27"/>
        <v>0</v>
      </c>
      <c r="AE158" s="115">
        <f t="shared" si="27"/>
        <v>-29687</v>
      </c>
      <c r="AF158" s="115">
        <f t="shared" si="27"/>
        <v>0</v>
      </c>
    </row>
    <row r="159" spans="1:32" x14ac:dyDescent="0.3">
      <c r="A159" s="45" t="s">
        <v>135</v>
      </c>
      <c r="B159" s="7"/>
      <c r="C159" s="12"/>
      <c r="D159" s="7"/>
      <c r="E159" s="7"/>
      <c r="F159" s="46"/>
      <c r="G159" s="51">
        <v>0</v>
      </c>
      <c r="H159" s="51">
        <v>0.01</v>
      </c>
      <c r="I159" s="51">
        <v>0.01</v>
      </c>
      <c r="J159" s="51">
        <v>0.01</v>
      </c>
      <c r="K159" s="51">
        <v>0.01</v>
      </c>
      <c r="L159" s="7"/>
      <c r="O159" s="45" t="s">
        <v>262</v>
      </c>
      <c r="P159" s="7"/>
      <c r="Q159" s="7"/>
      <c r="R159" s="61"/>
      <c r="S159" s="125" t="s">
        <v>287</v>
      </c>
      <c r="T159" s="61"/>
      <c r="U159" s="77">
        <v>0</v>
      </c>
      <c r="V159" s="77">
        <v>0</v>
      </c>
      <c r="W159" s="77">
        <v>0</v>
      </c>
      <c r="X159" s="77">
        <f>+J253</f>
        <v>29687</v>
      </c>
      <c r="Y159" s="77">
        <v>0</v>
      </c>
      <c r="AA159" s="7"/>
      <c r="AB159" s="90">
        <f>+AB158</f>
        <v>0</v>
      </c>
      <c r="AC159" s="90">
        <f>+AC158</f>
        <v>0</v>
      </c>
      <c r="AD159" s="90">
        <f>+AD158</f>
        <v>0</v>
      </c>
      <c r="AE159" s="90">
        <f>+AE158</f>
        <v>-29687</v>
      </c>
      <c r="AF159" s="90">
        <f>+AF158</f>
        <v>0</v>
      </c>
    </row>
    <row r="160" spans="1:32" x14ac:dyDescent="0.3">
      <c r="A160" s="45" t="s">
        <v>134</v>
      </c>
      <c r="B160" s="7"/>
      <c r="C160" s="12"/>
      <c r="D160" s="7"/>
      <c r="E160" s="7"/>
      <c r="F160" s="46"/>
      <c r="G160" s="51">
        <v>5.0000000000000001E-3</v>
      </c>
      <c r="H160" s="51">
        <v>5.0000000000000001E-3</v>
      </c>
      <c r="I160" s="51">
        <v>5.0000000000000001E-3</v>
      </c>
      <c r="J160" s="51">
        <v>0.01</v>
      </c>
      <c r="K160" s="51">
        <v>0.01</v>
      </c>
      <c r="L160" s="7"/>
      <c r="O160" s="45" t="s">
        <v>71</v>
      </c>
      <c r="P160" s="7"/>
      <c r="Q160" s="7"/>
      <c r="R160" s="61"/>
      <c r="S160" s="61"/>
      <c r="T160" s="61"/>
      <c r="U160" s="77">
        <v>0</v>
      </c>
      <c r="V160" s="77">
        <v>0</v>
      </c>
      <c r="W160" s="77">
        <v>0</v>
      </c>
      <c r="X160" s="77">
        <v>0</v>
      </c>
      <c r="Y160" s="77">
        <v>0</v>
      </c>
      <c r="AA160" s="121" t="s">
        <v>308</v>
      </c>
    </row>
    <row r="161" spans="1:32" x14ac:dyDescent="0.3">
      <c r="A161" s="45" t="s">
        <v>133</v>
      </c>
      <c r="B161" s="7"/>
      <c r="C161" s="12"/>
      <c r="D161" s="7"/>
      <c r="E161" s="7"/>
      <c r="F161" s="46"/>
      <c r="G161" s="51">
        <v>5.0000000000000001E-3</v>
      </c>
      <c r="H161" s="51">
        <v>5.0000000000000001E-3</v>
      </c>
      <c r="I161" s="51">
        <v>5.0000000000000001E-3</v>
      </c>
      <c r="J161" s="51">
        <v>5.0000000000000001E-3</v>
      </c>
      <c r="K161" s="51">
        <v>0.01</v>
      </c>
      <c r="L161" s="7"/>
      <c r="O161" s="45" t="s">
        <v>239</v>
      </c>
      <c r="P161" s="7"/>
      <c r="Q161" s="7"/>
      <c r="R161" s="61"/>
      <c r="S161" s="61"/>
      <c r="T161" s="61"/>
      <c r="U161" s="80">
        <f>SUM(U158:U160)</f>
        <v>24000</v>
      </c>
      <c r="V161" s="80">
        <f t="shared" ref="V161:Y161" si="28">SUM(V158:V160)</f>
        <v>24000</v>
      </c>
      <c r="W161" s="80">
        <f t="shared" si="28"/>
        <v>24000</v>
      </c>
      <c r="X161" s="80">
        <f t="shared" si="28"/>
        <v>53687</v>
      </c>
      <c r="Y161" s="80">
        <f t="shared" si="28"/>
        <v>53687</v>
      </c>
      <c r="AA161" s="6" t="s">
        <v>97</v>
      </c>
      <c r="AB161" s="115">
        <f>+U225</f>
        <v>0</v>
      </c>
      <c r="AC161" s="115">
        <f t="shared" ref="AC161:AF161" si="29">+V225</f>
        <v>-3388.0476026274273</v>
      </c>
      <c r="AD161" s="115">
        <f t="shared" si="29"/>
        <v>-3595.2366647195086</v>
      </c>
      <c r="AE161" s="115">
        <f t="shared" si="29"/>
        <v>-5129.0804136299048</v>
      </c>
      <c r="AF161" s="115">
        <f t="shared" si="29"/>
        <v>-5574.9210317594989</v>
      </c>
    </row>
    <row r="162" spans="1:32" x14ac:dyDescent="0.3">
      <c r="A162" s="45" t="s">
        <v>132</v>
      </c>
      <c r="B162" s="7"/>
      <c r="C162" s="12"/>
      <c r="D162" s="7"/>
      <c r="E162" s="7"/>
      <c r="F162" s="46"/>
      <c r="G162" s="51">
        <v>1.4999999999999999E-2</v>
      </c>
      <c r="H162" s="51">
        <v>1.4999999999999999E-2</v>
      </c>
      <c r="I162" s="51">
        <v>1.4999999999999999E-2</v>
      </c>
      <c r="J162" s="51">
        <v>1.4999999999999999E-2</v>
      </c>
      <c r="K162" s="51">
        <v>1.4999999999999999E-2</v>
      </c>
      <c r="L162" s="7"/>
      <c r="O162" s="66" t="s">
        <v>215</v>
      </c>
      <c r="P162" s="7"/>
      <c r="Q162" s="7"/>
      <c r="R162" s="61"/>
      <c r="S162" s="61"/>
      <c r="T162" s="61"/>
      <c r="U162" s="61"/>
      <c r="V162" s="61"/>
      <c r="W162" s="54"/>
      <c r="X162" s="77"/>
      <c r="Y162" s="54"/>
      <c r="AA162" s="6" t="s">
        <v>309</v>
      </c>
      <c r="AB162" s="115">
        <f>+U222</f>
        <v>-3440.2059745974088</v>
      </c>
      <c r="AC162" s="115">
        <f t="shared" ref="AC162:AF162" si="30">+V222</f>
        <v>-3440.2059745974088</v>
      </c>
      <c r="AD162" s="115">
        <f t="shared" si="30"/>
        <v>-3440.2059745974088</v>
      </c>
      <c r="AE162" s="115">
        <f t="shared" si="30"/>
        <v>-3440.2059745974088</v>
      </c>
      <c r="AF162" s="115">
        <f t="shared" si="30"/>
        <v>-3440.2059745974088</v>
      </c>
    </row>
    <row r="163" spans="1:32" x14ac:dyDescent="0.3">
      <c r="A163" s="45" t="s">
        <v>131</v>
      </c>
      <c r="B163" s="7"/>
      <c r="C163" s="12"/>
      <c r="D163" s="7"/>
      <c r="E163" s="7"/>
      <c r="F163" s="46"/>
      <c r="G163" s="51">
        <v>2E-3</v>
      </c>
      <c r="H163" s="51">
        <v>2E-3</v>
      </c>
      <c r="I163" s="51">
        <v>2E-3</v>
      </c>
      <c r="J163" s="51">
        <v>2E-3</v>
      </c>
      <c r="K163" s="51">
        <v>2E-3</v>
      </c>
      <c r="L163" s="7"/>
      <c r="O163" s="45" t="s">
        <v>236</v>
      </c>
      <c r="P163" s="7"/>
      <c r="Q163" s="7"/>
      <c r="R163" s="61"/>
      <c r="S163" s="61"/>
      <c r="T163" s="61"/>
      <c r="U163" s="81">
        <v>0</v>
      </c>
      <c r="V163" s="80">
        <f>+U166</f>
        <v>6000</v>
      </c>
      <c r="W163" s="80">
        <f t="shared" ref="W163:Y163" si="31">+V166</f>
        <v>12000</v>
      </c>
      <c r="X163" s="80">
        <f t="shared" si="31"/>
        <v>18000</v>
      </c>
      <c r="Y163" s="80">
        <f t="shared" si="31"/>
        <v>25421</v>
      </c>
      <c r="AA163" s="7"/>
      <c r="AB163" s="90">
        <f>SUM(AB161:AB162)</f>
        <v>-3440.2059745974088</v>
      </c>
      <c r="AC163" s="90">
        <f>SUM(AC161:AC162)</f>
        <v>-6828.2535772248357</v>
      </c>
      <c r="AD163" s="90">
        <f>SUM(AD161:AD162)</f>
        <v>-7035.4426393169178</v>
      </c>
      <c r="AE163" s="90">
        <f>SUM(AE161:AE162)</f>
        <v>-8569.2863882273141</v>
      </c>
      <c r="AF163" s="90">
        <f>SUM(AF161:AF162)</f>
        <v>-9015.1270063569082</v>
      </c>
    </row>
    <row r="164" spans="1:32" x14ac:dyDescent="0.3">
      <c r="A164" s="45" t="s">
        <v>130</v>
      </c>
      <c r="B164" s="7"/>
      <c r="C164" s="12"/>
      <c r="D164" s="7"/>
      <c r="E164" s="7"/>
      <c r="F164" s="46"/>
      <c r="G164" s="51">
        <v>0</v>
      </c>
      <c r="H164" s="51">
        <v>0.01</v>
      </c>
      <c r="I164" s="51">
        <v>0.02</v>
      </c>
      <c r="J164" s="51">
        <v>0.02</v>
      </c>
      <c r="K164" s="51">
        <v>0.02</v>
      </c>
      <c r="L164" s="7"/>
      <c r="O164" s="45" t="s">
        <v>263</v>
      </c>
      <c r="P164" s="7"/>
      <c r="Q164" s="7"/>
      <c r="R164" s="61"/>
      <c r="S164" s="61"/>
      <c r="T164" s="61"/>
      <c r="U164" s="77">
        <v>6000</v>
      </c>
      <c r="V164" s="77">
        <v>6000</v>
      </c>
      <c r="W164" s="77">
        <v>6000</v>
      </c>
      <c r="X164" s="77">
        <f>6000+1421</f>
        <v>7421</v>
      </c>
      <c r="Y164" s="77">
        <v>6000</v>
      </c>
      <c r="Z164" s="8"/>
      <c r="AB164" s="115"/>
      <c r="AC164" s="115"/>
      <c r="AD164" s="115"/>
      <c r="AE164" s="115"/>
      <c r="AF164" s="115"/>
    </row>
    <row r="165" spans="1:32" x14ac:dyDescent="0.3">
      <c r="A165" s="45" t="s">
        <v>129</v>
      </c>
      <c r="B165" s="7"/>
      <c r="C165" s="12"/>
      <c r="D165" s="7"/>
      <c r="E165" s="7"/>
      <c r="F165" s="46"/>
      <c r="G165" s="51">
        <v>0.03</v>
      </c>
      <c r="H165" s="51">
        <v>0.03</v>
      </c>
      <c r="I165" s="51">
        <v>0.03</v>
      </c>
      <c r="J165" s="51">
        <v>0.03</v>
      </c>
      <c r="K165" s="51">
        <v>0.03</v>
      </c>
      <c r="L165" s="7"/>
      <c r="O165" s="45" t="s">
        <v>71</v>
      </c>
      <c r="P165" s="7"/>
      <c r="Q165" s="7"/>
      <c r="R165" s="61"/>
      <c r="S165" s="61"/>
      <c r="T165" s="61"/>
      <c r="U165" s="61"/>
      <c r="V165" s="61"/>
      <c r="W165" s="54"/>
      <c r="X165" s="77"/>
      <c r="Y165" s="54"/>
      <c r="Z165" s="8"/>
      <c r="AA165" s="159" t="s">
        <v>310</v>
      </c>
      <c r="AB165" s="160">
        <f>+AB156+AB159+AB163</f>
        <v>9190.4377724425958</v>
      </c>
      <c r="AC165" s="160">
        <f t="shared" ref="AC165:AF165" si="32">+AC156+AC159+AC163</f>
        <v>5504.5861743919395</v>
      </c>
      <c r="AD165" s="160">
        <f t="shared" si="32"/>
        <v>8106.6119100494489</v>
      </c>
      <c r="AE165" s="160">
        <f t="shared" si="32"/>
        <v>-22167.416343901357</v>
      </c>
      <c r="AF165" s="160">
        <f t="shared" si="32"/>
        <v>9624.0773978431989</v>
      </c>
    </row>
    <row r="166" spans="1:32" x14ac:dyDescent="0.3">
      <c r="A166" s="45" t="s">
        <v>128</v>
      </c>
      <c r="B166" s="7"/>
      <c r="C166" s="12"/>
      <c r="D166" s="7"/>
      <c r="E166" s="7"/>
      <c r="F166" s="46"/>
      <c r="G166" s="51">
        <v>4.9099999999999998E-2</v>
      </c>
      <c r="H166" s="51">
        <v>4.9099999999999998E-2</v>
      </c>
      <c r="I166" s="51">
        <v>4.9099999999999998E-2</v>
      </c>
      <c r="J166" s="51">
        <v>4.9099999999999998E-2</v>
      </c>
      <c r="K166" s="51">
        <v>4.9099999999999998E-2</v>
      </c>
      <c r="L166" s="7"/>
      <c r="O166" s="45" t="s">
        <v>239</v>
      </c>
      <c r="P166" s="7"/>
      <c r="Q166" s="7"/>
      <c r="R166" s="61"/>
      <c r="S166" s="61"/>
      <c r="T166" s="61"/>
      <c r="U166" s="80">
        <f>SUM(U163:U165)</f>
        <v>6000</v>
      </c>
      <c r="V166" s="80">
        <f t="shared" ref="V166" si="33">SUM(V163:V165)</f>
        <v>12000</v>
      </c>
      <c r="W166" s="80">
        <f t="shared" ref="W166" si="34">SUM(W163:W165)</f>
        <v>18000</v>
      </c>
      <c r="X166" s="80">
        <f t="shared" ref="X166" si="35">SUM(X163:X165)</f>
        <v>25421</v>
      </c>
      <c r="Y166" s="80">
        <f t="shared" ref="Y166" si="36">SUM(Y163:Y165)</f>
        <v>31421</v>
      </c>
      <c r="AA166" s="158" t="s">
        <v>229</v>
      </c>
      <c r="AB166" s="91">
        <f>+G139</f>
        <v>1552</v>
      </c>
      <c r="AC166" s="91">
        <f>+AB167</f>
        <v>10742.437772442596</v>
      </c>
      <c r="AD166" s="91">
        <f t="shared" ref="AD166:AF166" si="37">+AC167</f>
        <v>16247.023946834535</v>
      </c>
      <c r="AE166" s="91">
        <f t="shared" si="37"/>
        <v>24353.635856883986</v>
      </c>
      <c r="AF166" s="91">
        <f t="shared" si="37"/>
        <v>2186.2195129826287</v>
      </c>
    </row>
    <row r="167" spans="1:32" s="8" customFormat="1" x14ac:dyDescent="0.3">
      <c r="A167" s="52"/>
      <c r="B167" s="44"/>
      <c r="C167" s="53"/>
      <c r="D167" s="44"/>
      <c r="E167" s="44"/>
      <c r="F167" s="54"/>
      <c r="G167" s="54"/>
      <c r="H167" s="54"/>
      <c r="I167" s="54"/>
      <c r="J167" s="54"/>
      <c r="K167" s="54"/>
      <c r="L167" s="44"/>
      <c r="O167" s="45"/>
      <c r="P167" s="7"/>
      <c r="Q167" s="7"/>
      <c r="R167" s="61"/>
      <c r="S167" s="61"/>
      <c r="T167" s="61"/>
      <c r="U167" s="80">
        <f>+U161-U166</f>
        <v>18000</v>
      </c>
      <c r="V167" s="80">
        <f t="shared" ref="V167:Y167" si="38">+V161-V166</f>
        <v>12000</v>
      </c>
      <c r="W167" s="80">
        <f t="shared" si="38"/>
        <v>6000</v>
      </c>
      <c r="X167" s="80">
        <f t="shared" si="38"/>
        <v>28266</v>
      </c>
      <c r="Y167" s="80">
        <f t="shared" si="38"/>
        <v>22266</v>
      </c>
      <c r="Z167" s="6"/>
      <c r="AA167" s="158" t="s">
        <v>233</v>
      </c>
      <c r="AB167" s="91">
        <f>+AB165+AB166</f>
        <v>10742.437772442596</v>
      </c>
      <c r="AC167" s="91">
        <f t="shared" ref="AC167:AF167" si="39">+AC165+AC166</f>
        <v>16247.023946834535</v>
      </c>
      <c r="AD167" s="91">
        <f t="shared" si="39"/>
        <v>24353.635856883986</v>
      </c>
      <c r="AE167" s="91">
        <f t="shared" si="39"/>
        <v>2186.2195129826287</v>
      </c>
      <c r="AF167" s="91">
        <f t="shared" si="39"/>
        <v>11810.296910825828</v>
      </c>
    </row>
    <row r="168" spans="1:32" s="8" customFormat="1" x14ac:dyDescent="0.3">
      <c r="A168" s="52" t="s">
        <v>139</v>
      </c>
      <c r="B168" s="44"/>
      <c r="C168" s="53"/>
      <c r="D168" s="44"/>
      <c r="E168" s="44"/>
      <c r="F168" s="54" t="s">
        <v>126</v>
      </c>
      <c r="G168" s="54" t="s">
        <v>68</v>
      </c>
      <c r="H168" s="54" t="s">
        <v>69</v>
      </c>
      <c r="I168" s="54" t="s">
        <v>70</v>
      </c>
      <c r="J168" s="54" t="s">
        <v>76</v>
      </c>
      <c r="K168" s="54" t="s">
        <v>127</v>
      </c>
      <c r="L168" s="44"/>
      <c r="O168" s="45"/>
      <c r="P168" s="7"/>
      <c r="Q168" s="7"/>
      <c r="R168" s="61"/>
      <c r="S168" s="61"/>
      <c r="T168" s="61"/>
      <c r="U168" s="61"/>
      <c r="V168" s="61"/>
      <c r="W168" s="54"/>
      <c r="X168" s="77"/>
      <c r="Y168" s="54"/>
      <c r="Z168" s="6"/>
      <c r="AA168" s="156" t="s">
        <v>311</v>
      </c>
      <c r="AB168" s="157">
        <f>+AB134-AB167</f>
        <v>0</v>
      </c>
      <c r="AC168" s="157">
        <f t="shared" ref="AC168:AF168" si="40">+AC134-AC167</f>
        <v>0</v>
      </c>
      <c r="AD168" s="157">
        <f t="shared" si="40"/>
        <v>0</v>
      </c>
      <c r="AE168" s="157">
        <f t="shared" si="40"/>
        <v>0</v>
      </c>
      <c r="AF168" s="157">
        <f t="shared" si="40"/>
        <v>0</v>
      </c>
    </row>
    <row r="169" spans="1:32" x14ac:dyDescent="0.3">
      <c r="A169" s="45" t="s">
        <v>140</v>
      </c>
      <c r="B169" s="7"/>
      <c r="C169" s="12"/>
      <c r="D169" s="7"/>
      <c r="E169" s="7"/>
      <c r="F169" s="46"/>
      <c r="G169" s="51">
        <v>0.06</v>
      </c>
      <c r="H169" s="51">
        <v>0.06</v>
      </c>
      <c r="I169" s="51">
        <v>0.06</v>
      </c>
      <c r="J169" s="51">
        <v>0.06</v>
      </c>
      <c r="K169" s="51">
        <v>0.06</v>
      </c>
      <c r="L169" s="7"/>
      <c r="O169" s="111" t="s">
        <v>261</v>
      </c>
      <c r="P169" s="112"/>
      <c r="Q169" s="112"/>
      <c r="R169" s="113"/>
      <c r="S169" s="61"/>
      <c r="T169" s="54" t="s">
        <v>126</v>
      </c>
      <c r="U169" s="54" t="s">
        <v>68</v>
      </c>
      <c r="V169" s="54" t="s">
        <v>69</v>
      </c>
      <c r="W169" s="54" t="s">
        <v>70</v>
      </c>
      <c r="X169" s="54" t="s">
        <v>76</v>
      </c>
      <c r="Y169" s="54" t="s">
        <v>127</v>
      </c>
    </row>
    <row r="170" spans="1:32" x14ac:dyDescent="0.3">
      <c r="A170" s="45" t="s">
        <v>141</v>
      </c>
      <c r="B170" s="7"/>
      <c r="C170" s="12"/>
      <c r="D170" s="7"/>
      <c r="E170" s="7"/>
      <c r="F170" s="46"/>
      <c r="G170" s="51">
        <v>0.03</v>
      </c>
      <c r="H170" s="51">
        <v>0.03</v>
      </c>
      <c r="I170" s="51">
        <v>0.03</v>
      </c>
      <c r="J170" s="51">
        <v>0.03</v>
      </c>
      <c r="K170" s="51">
        <v>0.03</v>
      </c>
      <c r="L170" s="7"/>
      <c r="O170" s="45"/>
      <c r="P170" s="7"/>
      <c r="Q170" s="7"/>
      <c r="R170" s="61"/>
      <c r="S170" s="61"/>
      <c r="T170" s="61"/>
      <c r="U170" s="61"/>
      <c r="V170" s="61"/>
      <c r="W170" s="54"/>
      <c r="X170" s="54"/>
      <c r="Y170" s="54"/>
    </row>
    <row r="171" spans="1:32" x14ac:dyDescent="0.3">
      <c r="A171" s="45" t="s">
        <v>143</v>
      </c>
      <c r="B171" s="7"/>
      <c r="C171" s="12"/>
      <c r="D171" s="7"/>
      <c r="E171" s="7"/>
      <c r="F171" s="46"/>
      <c r="G171" s="51">
        <v>8.3000000000000004E-2</v>
      </c>
      <c r="H171" s="51">
        <v>8.3000000000000004E-2</v>
      </c>
      <c r="I171" s="51">
        <v>8.3000000000000004E-2</v>
      </c>
      <c r="J171" s="51">
        <v>8.3000000000000004E-2</v>
      </c>
      <c r="K171" s="51">
        <v>8.3000000000000004E-2</v>
      </c>
      <c r="L171" s="7"/>
      <c r="O171" s="66" t="s">
        <v>236</v>
      </c>
      <c r="P171" s="7"/>
      <c r="Q171" s="7"/>
      <c r="R171" s="61"/>
      <c r="S171" s="61"/>
      <c r="T171" s="61"/>
      <c r="U171" s="110">
        <f>+G145</f>
        <v>171.99999999999997</v>
      </c>
      <c r="V171" s="80">
        <f>+U174</f>
        <v>2440.657686439999</v>
      </c>
      <c r="W171" s="80">
        <f>+V174</f>
        <v>2718.2144401435285</v>
      </c>
      <c r="X171" s="80">
        <f>+W174</f>
        <v>2768.2817086624145</v>
      </c>
      <c r="Y171" s="80">
        <f>+X174</f>
        <v>2955.6528561132309</v>
      </c>
    </row>
    <row r="172" spans="1:32" x14ac:dyDescent="0.3">
      <c r="A172" s="45" t="s">
        <v>144</v>
      </c>
      <c r="B172" s="7"/>
      <c r="C172" s="12"/>
      <c r="D172" s="7"/>
      <c r="E172" s="7"/>
      <c r="F172" s="46"/>
      <c r="G172" s="51">
        <v>0.95</v>
      </c>
      <c r="H172" s="51"/>
      <c r="I172" s="51"/>
      <c r="J172" s="51"/>
      <c r="K172" s="51"/>
      <c r="L172" s="7"/>
      <c r="O172" s="45" t="s">
        <v>253</v>
      </c>
      <c r="P172" s="7"/>
      <c r="Q172" s="7"/>
      <c r="R172" s="61"/>
      <c r="S172" s="61"/>
      <c r="T172" s="61"/>
      <c r="U172" s="77">
        <f>+U147</f>
        <v>24406.576864399995</v>
      </c>
      <c r="V172" s="77">
        <f>+V147</f>
        <v>27182.144401435293</v>
      </c>
      <c r="W172" s="77">
        <f>+W147</f>
        <v>27682.817086624153</v>
      </c>
      <c r="X172" s="77">
        <f>+X147</f>
        <v>29556.528561132316</v>
      </c>
      <c r="Y172" s="77">
        <f>+Y147</f>
        <v>30742.979996234371</v>
      </c>
    </row>
    <row r="173" spans="1:32" x14ac:dyDescent="0.3">
      <c r="A173" s="45" t="s">
        <v>145</v>
      </c>
      <c r="B173" s="7"/>
      <c r="C173" s="12"/>
      <c r="D173" s="7"/>
      <c r="E173" s="7"/>
      <c r="F173" s="46"/>
      <c r="G173" s="51">
        <v>0.85</v>
      </c>
      <c r="H173" s="51"/>
      <c r="I173" s="51"/>
      <c r="J173" s="51"/>
      <c r="K173" s="51"/>
      <c r="L173" s="7"/>
      <c r="O173" s="45" t="s">
        <v>238</v>
      </c>
      <c r="P173" s="7"/>
      <c r="Q173" s="7"/>
      <c r="R173" s="61"/>
      <c r="S173" s="125" t="s">
        <v>289</v>
      </c>
      <c r="T173" s="61"/>
      <c r="U173" s="77">
        <f>-(U172+U171-U174)</f>
        <v>-22137.919177959997</v>
      </c>
      <c r="V173" s="77">
        <f t="shared" ref="V173:Y173" si="41">-(V172+V171-V174)</f>
        <v>-26904.587647731762</v>
      </c>
      <c r="W173" s="77">
        <f t="shared" si="41"/>
        <v>-27632.749818105265</v>
      </c>
      <c r="X173" s="77">
        <f t="shared" si="41"/>
        <v>-29369.157413681503</v>
      </c>
      <c r="Y173" s="77">
        <f t="shared" si="41"/>
        <v>-30624.334852724169</v>
      </c>
    </row>
    <row r="174" spans="1:32" x14ac:dyDescent="0.3">
      <c r="A174" s="45" t="s">
        <v>146</v>
      </c>
      <c r="B174" s="7"/>
      <c r="C174" s="12"/>
      <c r="D174" s="7"/>
      <c r="E174" s="7"/>
      <c r="F174" s="46"/>
      <c r="G174" s="51">
        <v>0.3</v>
      </c>
      <c r="H174" s="51"/>
      <c r="I174" s="51"/>
      <c r="J174" s="51"/>
      <c r="K174" s="51"/>
      <c r="L174" s="7"/>
      <c r="O174" s="66" t="s">
        <v>239</v>
      </c>
      <c r="P174" s="7"/>
      <c r="Q174" s="7"/>
      <c r="R174" s="61"/>
      <c r="S174" s="61"/>
      <c r="T174" s="61"/>
      <c r="U174" s="80">
        <f>U172*(1-$G$175)</f>
        <v>2440.657686439999</v>
      </c>
      <c r="V174" s="80">
        <f t="shared" ref="V174:Y174" si="42">V172*(1-$G$175)</f>
        <v>2718.2144401435285</v>
      </c>
      <c r="W174" s="80">
        <f t="shared" si="42"/>
        <v>2768.2817086624145</v>
      </c>
      <c r="X174" s="80">
        <f t="shared" si="42"/>
        <v>2955.6528561132309</v>
      </c>
      <c r="Y174" s="80">
        <f t="shared" si="42"/>
        <v>3074.2979996234362</v>
      </c>
    </row>
    <row r="175" spans="1:32" x14ac:dyDescent="0.3">
      <c r="A175" s="45" t="s">
        <v>147</v>
      </c>
      <c r="B175" s="7"/>
      <c r="C175" s="12"/>
      <c r="D175" s="7"/>
      <c r="E175" s="7"/>
      <c r="F175" s="46"/>
      <c r="G175" s="51">
        <v>0.9</v>
      </c>
      <c r="H175" s="51"/>
      <c r="I175" s="51"/>
      <c r="J175" s="51"/>
      <c r="K175" s="51"/>
      <c r="L175" s="7"/>
      <c r="O175" s="61"/>
      <c r="P175" s="61"/>
      <c r="Q175" s="61"/>
      <c r="R175" s="61"/>
      <c r="S175" s="61"/>
      <c r="T175" s="82" t="s">
        <v>221</v>
      </c>
      <c r="U175" s="77">
        <f>SUM(U171:U173)-U174</f>
        <v>0</v>
      </c>
      <c r="V175" s="77">
        <f t="shared" ref="V175:Y175" si="43">SUM(V171:V173)-V174</f>
        <v>0</v>
      </c>
      <c r="W175" s="77">
        <f t="shared" si="43"/>
        <v>0</v>
      </c>
      <c r="X175" s="77">
        <f t="shared" si="43"/>
        <v>0</v>
      </c>
      <c r="Y175" s="77">
        <f t="shared" si="43"/>
        <v>0</v>
      </c>
    </row>
    <row r="176" spans="1:32" x14ac:dyDescent="0.3">
      <c r="A176" s="45" t="s">
        <v>266</v>
      </c>
      <c r="B176" s="7"/>
      <c r="C176" s="12"/>
      <c r="D176" s="7"/>
      <c r="E176" s="7"/>
      <c r="F176" s="46"/>
      <c r="G176" s="51">
        <v>0.95</v>
      </c>
      <c r="H176" s="51"/>
      <c r="I176" s="51"/>
      <c r="J176" s="51"/>
      <c r="K176" s="51"/>
      <c r="L176" s="7"/>
      <c r="O176" s="83"/>
      <c r="P176" s="7"/>
      <c r="Q176" s="7"/>
      <c r="R176" s="61"/>
      <c r="S176" s="61"/>
      <c r="T176" s="61"/>
      <c r="U176" s="67"/>
      <c r="V176" s="67"/>
      <c r="W176" s="67"/>
      <c r="X176" s="67"/>
      <c r="Y176" s="67"/>
      <c r="Z176" s="8"/>
    </row>
    <row r="177" spans="1:32" x14ac:dyDescent="0.3">
      <c r="A177" s="45" t="s">
        <v>148</v>
      </c>
      <c r="B177" s="7"/>
      <c r="C177" s="12"/>
      <c r="D177" s="7"/>
      <c r="E177" s="7"/>
      <c r="F177" s="46"/>
      <c r="G177" s="51">
        <v>0.7</v>
      </c>
      <c r="H177" s="51"/>
      <c r="I177" s="51"/>
      <c r="J177" s="51"/>
      <c r="K177" s="51"/>
      <c r="L177" s="7"/>
      <c r="O177" s="83"/>
      <c r="P177" s="7"/>
      <c r="Q177" s="7"/>
      <c r="R177" s="61"/>
      <c r="S177" s="61"/>
      <c r="T177" s="61"/>
      <c r="U177" s="67"/>
      <c r="V177" s="67"/>
      <c r="W177" s="67"/>
      <c r="X177" s="67"/>
      <c r="Y177" s="67"/>
    </row>
    <row r="178" spans="1:32" x14ac:dyDescent="0.3">
      <c r="A178" s="45" t="s">
        <v>149</v>
      </c>
      <c r="B178" s="7"/>
      <c r="C178" s="12"/>
      <c r="D178" s="7"/>
      <c r="E178" s="7"/>
      <c r="F178" s="46"/>
      <c r="G178" s="55">
        <v>100</v>
      </c>
      <c r="H178" s="55">
        <v>110</v>
      </c>
      <c r="I178" s="55">
        <v>120</v>
      </c>
      <c r="J178" s="55">
        <v>130</v>
      </c>
      <c r="K178" s="55">
        <v>140</v>
      </c>
      <c r="L178" s="7"/>
      <c r="O178" s="111" t="s">
        <v>264</v>
      </c>
      <c r="P178" s="112"/>
      <c r="Q178" s="112"/>
      <c r="R178" s="113"/>
      <c r="S178" s="61"/>
      <c r="T178" s="54" t="s">
        <v>126</v>
      </c>
      <c r="U178" s="54" t="s">
        <v>68</v>
      </c>
      <c r="V178" s="54" t="s">
        <v>69</v>
      </c>
      <c r="W178" s="54" t="s">
        <v>70</v>
      </c>
      <c r="X178" s="54" t="s">
        <v>76</v>
      </c>
      <c r="Y178" s="54" t="s">
        <v>127</v>
      </c>
      <c r="AA178" s="8"/>
      <c r="AB178" s="8"/>
      <c r="AC178" s="8"/>
      <c r="AD178" s="8"/>
      <c r="AE178" s="8"/>
      <c r="AF178" s="8"/>
    </row>
    <row r="179" spans="1:32" s="8" customFormat="1" x14ac:dyDescent="0.3">
      <c r="A179" s="45"/>
      <c r="B179" s="7"/>
      <c r="C179" s="7"/>
      <c r="D179" s="7"/>
      <c r="E179" s="7"/>
      <c r="F179" s="7"/>
      <c r="G179" s="50"/>
      <c r="H179" s="50"/>
      <c r="I179" s="50"/>
      <c r="J179" s="50"/>
      <c r="K179" s="50"/>
      <c r="L179" s="7"/>
      <c r="O179" s="45"/>
      <c r="P179" s="7"/>
      <c r="Q179" s="7"/>
      <c r="R179" s="61"/>
      <c r="S179" s="61"/>
      <c r="T179" s="61"/>
      <c r="U179" s="61"/>
      <c r="V179" s="61"/>
      <c r="W179" s="54"/>
      <c r="X179" s="54"/>
      <c r="Y179" s="54"/>
      <c r="Z179" s="6"/>
      <c r="AA179" s="6"/>
      <c r="AB179" s="6"/>
      <c r="AC179" s="6"/>
      <c r="AD179" s="6"/>
      <c r="AE179" s="6"/>
      <c r="AF179" s="6"/>
    </row>
    <row r="180" spans="1:32" x14ac:dyDescent="0.3">
      <c r="A180" s="52" t="s">
        <v>150</v>
      </c>
      <c r="B180" s="44"/>
      <c r="C180" s="53"/>
      <c r="D180" s="44"/>
      <c r="E180" s="44"/>
      <c r="F180" s="7"/>
      <c r="G180" s="50"/>
      <c r="H180" s="50"/>
      <c r="I180" s="50"/>
      <c r="J180" s="50"/>
      <c r="K180" s="50"/>
      <c r="L180" s="44"/>
      <c r="O180" s="66" t="s">
        <v>236</v>
      </c>
      <c r="P180" s="7"/>
      <c r="Q180" s="7"/>
      <c r="R180" s="61"/>
      <c r="S180" s="61"/>
      <c r="T180" s="77">
        <f>+G147</f>
        <v>12100</v>
      </c>
      <c r="U180" s="81">
        <f>+T180</f>
        <v>12100</v>
      </c>
      <c r="V180" s="80">
        <f>+U183</f>
        <v>10232.794025402591</v>
      </c>
      <c r="W180" s="80">
        <f t="shared" ref="W180:Y180" si="44">+V183</f>
        <v>8122.8512741075192</v>
      </c>
      <c r="X180" s="80">
        <f t="shared" si="44"/>
        <v>5738.6159651440867</v>
      </c>
      <c r="Y180" s="80">
        <f t="shared" si="44"/>
        <v>3044.430066015409</v>
      </c>
    </row>
    <row r="181" spans="1:32" x14ac:dyDescent="0.3">
      <c r="A181" s="45"/>
      <c r="B181" s="44"/>
      <c r="C181" s="54" t="s">
        <v>151</v>
      </c>
      <c r="D181" s="54" t="s">
        <v>152</v>
      </c>
      <c r="E181" s="50"/>
      <c r="F181" s="7"/>
      <c r="G181" s="7"/>
      <c r="H181" s="50"/>
      <c r="I181" s="50"/>
      <c r="J181" s="54"/>
      <c r="K181" s="54"/>
      <c r="L181" s="7"/>
      <c r="O181" s="45" t="s">
        <v>237</v>
      </c>
      <c r="P181" s="7"/>
      <c r="Q181" s="7"/>
      <c r="R181" s="61"/>
      <c r="S181" s="61"/>
      <c r="T181" s="61"/>
      <c r="U181" s="77">
        <f>U180*G252</f>
        <v>1573</v>
      </c>
      <c r="V181" s="77">
        <f>V180*H252</f>
        <v>1330.2632233023369</v>
      </c>
      <c r="W181" s="77">
        <f>W180*I252</f>
        <v>1055.9706656339774</v>
      </c>
      <c r="X181" s="77">
        <f>X180*J252</f>
        <v>746.02007546873131</v>
      </c>
      <c r="Y181" s="77">
        <f>Y180*K252</f>
        <v>395.77590858200318</v>
      </c>
    </row>
    <row r="182" spans="1:32" x14ac:dyDescent="0.3">
      <c r="A182" s="45"/>
      <c r="B182" s="44"/>
      <c r="C182" s="54" t="s">
        <v>153</v>
      </c>
      <c r="D182" s="54" t="s">
        <v>153</v>
      </c>
      <c r="E182" s="54" t="s">
        <v>155</v>
      </c>
      <c r="F182" s="54" t="s">
        <v>126</v>
      </c>
      <c r="G182" s="54" t="s">
        <v>68</v>
      </c>
      <c r="H182" s="54" t="s">
        <v>69</v>
      </c>
      <c r="I182" s="54" t="s">
        <v>70</v>
      </c>
      <c r="J182" s="54" t="s">
        <v>76</v>
      </c>
      <c r="K182" s="54" t="s">
        <v>127</v>
      </c>
      <c r="L182" s="7"/>
      <c r="O182" s="45" t="s">
        <v>238</v>
      </c>
      <c r="P182" s="7"/>
      <c r="Q182" s="7"/>
      <c r="R182" s="61"/>
      <c r="S182" s="125" t="s">
        <v>290</v>
      </c>
      <c r="T182" s="61"/>
      <c r="U182" s="77">
        <f>PMT(G252,5,T180,0,0)</f>
        <v>-3440.2059745974088</v>
      </c>
      <c r="V182" s="77">
        <f>+U182</f>
        <v>-3440.2059745974088</v>
      </c>
      <c r="W182" s="77">
        <f>+V182</f>
        <v>-3440.2059745974088</v>
      </c>
      <c r="X182" s="77">
        <f t="shared" ref="X182:Y182" si="45">+W182</f>
        <v>-3440.2059745974088</v>
      </c>
      <c r="Y182" s="77">
        <f t="shared" si="45"/>
        <v>-3440.2059745974088</v>
      </c>
    </row>
    <row r="183" spans="1:32" x14ac:dyDescent="0.3">
      <c r="A183" s="45"/>
      <c r="B183" s="44"/>
      <c r="C183" s="46">
        <v>0</v>
      </c>
      <c r="D183" s="56">
        <v>5924</v>
      </c>
      <c r="E183" s="51">
        <v>0</v>
      </c>
      <c r="F183" s="57">
        <f>+G124</f>
        <v>4.3</v>
      </c>
      <c r="G183" s="57">
        <f>G124*(1+G158+G160)</f>
        <v>4.5364999999999993</v>
      </c>
      <c r="H183" s="57">
        <f>G183*(1+H158+H160)</f>
        <v>4.8086899999999986</v>
      </c>
      <c r="I183" s="57">
        <f>H183*(1+I158+I160)</f>
        <v>5.0972113999999973</v>
      </c>
      <c r="J183" s="57">
        <f>I183*(1+J158+J160)</f>
        <v>5.4030440839999976</v>
      </c>
      <c r="K183" s="57">
        <f>J183*(1+K158+K160)</f>
        <v>5.7272267290399981</v>
      </c>
      <c r="L183" s="7"/>
      <c r="O183" s="66" t="s">
        <v>239</v>
      </c>
      <c r="P183" s="7"/>
      <c r="Q183" s="7"/>
      <c r="R183" s="61"/>
      <c r="S183" s="61"/>
      <c r="T183" s="61"/>
      <c r="U183" s="81">
        <f>SUM(U180:U182)</f>
        <v>10232.794025402591</v>
      </c>
      <c r="V183" s="81">
        <f t="shared" ref="V183:Y183" si="46">SUM(V180:V182)</f>
        <v>8122.8512741075192</v>
      </c>
      <c r="W183" s="81">
        <f t="shared" si="46"/>
        <v>5738.6159651440867</v>
      </c>
      <c r="X183" s="81">
        <f t="shared" si="46"/>
        <v>3044.430066015409</v>
      </c>
      <c r="Y183" s="81">
        <f t="shared" si="46"/>
        <v>0</v>
      </c>
    </row>
    <row r="184" spans="1:32" x14ac:dyDescent="0.3">
      <c r="A184" s="45"/>
      <c r="B184" s="44"/>
      <c r="C184" s="46">
        <v>5925</v>
      </c>
      <c r="D184" s="56">
        <v>6524</v>
      </c>
      <c r="E184" s="51">
        <v>0.1</v>
      </c>
      <c r="F184" s="57">
        <f t="shared" ref="F184:K193" si="47">F$183*(1-$E184)</f>
        <v>3.87</v>
      </c>
      <c r="G184" s="57">
        <f t="shared" si="47"/>
        <v>4.0828499999999996</v>
      </c>
      <c r="H184" s="57">
        <f t="shared" si="47"/>
        <v>4.3278209999999993</v>
      </c>
      <c r="I184" s="57">
        <f t="shared" si="47"/>
        <v>4.5874902599999974</v>
      </c>
      <c r="J184" s="57">
        <f t="shared" si="47"/>
        <v>4.8627396755999976</v>
      </c>
      <c r="K184" s="57">
        <f t="shared" si="47"/>
        <v>5.1545040561359983</v>
      </c>
      <c r="L184" s="7"/>
      <c r="O184" s="83"/>
      <c r="P184" s="7"/>
      <c r="Q184" s="7"/>
      <c r="R184" s="61"/>
      <c r="S184" s="61"/>
      <c r="T184" s="61"/>
      <c r="U184" s="67"/>
      <c r="V184" s="67"/>
      <c r="W184" s="67"/>
      <c r="X184" s="67"/>
      <c r="Y184" s="67"/>
    </row>
    <row r="185" spans="1:32" x14ac:dyDescent="0.3">
      <c r="A185" s="45"/>
      <c r="B185" s="44"/>
      <c r="C185" s="46">
        <v>6525</v>
      </c>
      <c r="D185" s="56">
        <v>6674</v>
      </c>
      <c r="E185" s="51">
        <v>0.15</v>
      </c>
      <c r="F185" s="57">
        <f t="shared" si="47"/>
        <v>3.6549999999999998</v>
      </c>
      <c r="G185" s="57">
        <f t="shared" si="47"/>
        <v>3.8560249999999994</v>
      </c>
      <c r="H185" s="57">
        <f t="shared" si="47"/>
        <v>4.0873864999999983</v>
      </c>
      <c r="I185" s="57">
        <f t="shared" si="47"/>
        <v>4.3326296899999974</v>
      </c>
      <c r="J185" s="57">
        <f t="shared" si="47"/>
        <v>4.5925874713999981</v>
      </c>
      <c r="K185" s="57">
        <f t="shared" si="47"/>
        <v>4.8681427196839984</v>
      </c>
      <c r="L185" s="7"/>
      <c r="O185" s="111" t="s">
        <v>265</v>
      </c>
      <c r="P185" s="112"/>
      <c r="Q185" s="112"/>
      <c r="R185" s="113"/>
      <c r="S185" s="61"/>
      <c r="T185" s="54" t="s">
        <v>126</v>
      </c>
      <c r="U185" s="54" t="s">
        <v>68</v>
      </c>
      <c r="V185" s="54" t="s">
        <v>69</v>
      </c>
      <c r="W185" s="54" t="s">
        <v>70</v>
      </c>
      <c r="X185" s="54" t="s">
        <v>76</v>
      </c>
      <c r="Y185" s="54" t="s">
        <v>127</v>
      </c>
    </row>
    <row r="186" spans="1:32" x14ac:dyDescent="0.3">
      <c r="A186" s="45"/>
      <c r="B186" s="44"/>
      <c r="C186" s="46">
        <v>6675</v>
      </c>
      <c r="D186" s="56">
        <v>6824</v>
      </c>
      <c r="E186" s="51">
        <v>0.2</v>
      </c>
      <c r="F186" s="57">
        <f t="shared" si="47"/>
        <v>3.44</v>
      </c>
      <c r="G186" s="57">
        <f t="shared" si="47"/>
        <v>3.6291999999999995</v>
      </c>
      <c r="H186" s="57">
        <f t="shared" si="47"/>
        <v>3.846951999999999</v>
      </c>
      <c r="I186" s="57">
        <f t="shared" si="47"/>
        <v>4.0777691199999984</v>
      </c>
      <c r="J186" s="57">
        <f t="shared" si="47"/>
        <v>4.3224352671999986</v>
      </c>
      <c r="K186" s="57">
        <f t="shared" si="47"/>
        <v>4.5817813832319985</v>
      </c>
      <c r="L186" s="7"/>
      <c r="O186" s="45"/>
      <c r="P186" s="7"/>
      <c r="Q186" s="7"/>
      <c r="R186" s="61"/>
      <c r="S186" s="61"/>
      <c r="T186" s="61"/>
      <c r="U186" s="61"/>
      <c r="V186" s="61"/>
      <c r="W186" s="54"/>
      <c r="X186" s="54"/>
      <c r="Y186" s="54"/>
    </row>
    <row r="187" spans="1:32" x14ac:dyDescent="0.3">
      <c r="A187" s="45"/>
      <c r="B187" s="44"/>
      <c r="C187" s="46">
        <v>6825</v>
      </c>
      <c r="D187" s="56">
        <v>6974</v>
      </c>
      <c r="E187" s="51">
        <v>0.21</v>
      </c>
      <c r="F187" s="57">
        <f t="shared" si="47"/>
        <v>3.3969999999999998</v>
      </c>
      <c r="G187" s="57">
        <f t="shared" si="47"/>
        <v>3.5838349999999997</v>
      </c>
      <c r="H187" s="57">
        <f t="shared" si="47"/>
        <v>3.7988650999999991</v>
      </c>
      <c r="I187" s="57">
        <f t="shared" si="47"/>
        <v>4.026797005999998</v>
      </c>
      <c r="J187" s="57">
        <f t="shared" si="47"/>
        <v>4.2684048263599985</v>
      </c>
      <c r="K187" s="57">
        <f t="shared" si="47"/>
        <v>4.5245091159415987</v>
      </c>
      <c r="L187" s="7"/>
      <c r="O187" s="66" t="s">
        <v>236</v>
      </c>
      <c r="P187" s="7"/>
      <c r="Q187" s="7"/>
      <c r="R187" s="61"/>
      <c r="S187" s="61"/>
      <c r="T187" s="77"/>
      <c r="U187" s="110">
        <f>+T187</f>
        <v>0</v>
      </c>
      <c r="V187" s="80">
        <f>+U196</f>
        <v>460.60642499999994</v>
      </c>
      <c r="W187" s="80">
        <f>+V196</f>
        <v>493.04713418733769</v>
      </c>
      <c r="X187" s="80">
        <f>+W196</f>
        <v>530.2878057360233</v>
      </c>
      <c r="Y187" s="80">
        <f>+X196</f>
        <v>567.71515660717762</v>
      </c>
    </row>
    <row r="188" spans="1:32" x14ac:dyDescent="0.3">
      <c r="A188" s="45"/>
      <c r="B188" s="44"/>
      <c r="C188" s="46">
        <v>6975</v>
      </c>
      <c r="D188" s="56">
        <v>7124</v>
      </c>
      <c r="E188" s="51">
        <v>0.24</v>
      </c>
      <c r="F188" s="57">
        <f t="shared" si="47"/>
        <v>3.2679999999999998</v>
      </c>
      <c r="G188" s="57">
        <f t="shared" si="47"/>
        <v>3.4477399999999996</v>
      </c>
      <c r="H188" s="57">
        <f t="shared" si="47"/>
        <v>3.6546043999999989</v>
      </c>
      <c r="I188" s="57">
        <f t="shared" si="47"/>
        <v>3.8738806639999979</v>
      </c>
      <c r="J188" s="57">
        <f t="shared" si="47"/>
        <v>4.1063135038399983</v>
      </c>
      <c r="K188" s="57">
        <f t="shared" si="47"/>
        <v>4.3526923140703984</v>
      </c>
      <c r="L188" s="7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</row>
    <row r="189" spans="1:32" x14ac:dyDescent="0.3">
      <c r="A189" s="45"/>
      <c r="B189" s="44"/>
      <c r="C189" s="46">
        <v>7125</v>
      </c>
      <c r="D189" s="56">
        <v>7274</v>
      </c>
      <c r="E189" s="51">
        <v>0.26</v>
      </c>
      <c r="F189" s="57">
        <f t="shared" si="47"/>
        <v>3.1819999999999999</v>
      </c>
      <c r="G189" s="57">
        <f t="shared" si="47"/>
        <v>3.3570099999999994</v>
      </c>
      <c r="H189" s="57">
        <f t="shared" si="47"/>
        <v>3.558430599999999</v>
      </c>
      <c r="I189" s="57">
        <f t="shared" si="47"/>
        <v>3.7719364359999981</v>
      </c>
      <c r="J189" s="57">
        <f t="shared" si="47"/>
        <v>3.9982526221599981</v>
      </c>
      <c r="K189" s="57">
        <f t="shared" si="47"/>
        <v>4.2381477794895988</v>
      </c>
      <c r="L189" s="7"/>
      <c r="O189" s="52" t="s">
        <v>226</v>
      </c>
      <c r="P189" s="7"/>
      <c r="Q189" s="7"/>
      <c r="R189" s="61"/>
      <c r="S189" s="61"/>
      <c r="T189" s="54"/>
      <c r="U189" s="54"/>
      <c r="V189" s="54"/>
      <c r="W189" s="54"/>
      <c r="X189" s="54"/>
      <c r="Y189" s="54"/>
    </row>
    <row r="190" spans="1:32" x14ac:dyDescent="0.3">
      <c r="A190" s="45"/>
      <c r="B190" s="44"/>
      <c r="C190" s="46">
        <v>7275</v>
      </c>
      <c r="D190" s="56">
        <v>7424</v>
      </c>
      <c r="E190" s="51">
        <v>0.28000000000000003</v>
      </c>
      <c r="F190" s="57">
        <f t="shared" si="47"/>
        <v>3.0959999999999996</v>
      </c>
      <c r="G190" s="57">
        <f t="shared" si="47"/>
        <v>3.2662799999999992</v>
      </c>
      <c r="H190" s="57">
        <f t="shared" si="47"/>
        <v>3.4622567999999987</v>
      </c>
      <c r="I190" s="57">
        <f t="shared" si="47"/>
        <v>3.6699922079999978</v>
      </c>
      <c r="J190" s="57">
        <f t="shared" si="47"/>
        <v>3.8901917404799979</v>
      </c>
      <c r="K190" s="57">
        <f t="shared" si="47"/>
        <v>4.1236032449087983</v>
      </c>
      <c r="L190" s="7"/>
      <c r="O190" s="114" t="s">
        <v>206</v>
      </c>
      <c r="P190" s="7"/>
      <c r="Q190" s="7"/>
      <c r="R190" s="61"/>
      <c r="S190" s="61"/>
      <c r="T190" s="77">
        <f>+F156</f>
        <v>2184</v>
      </c>
      <c r="U190" s="77">
        <f>T190*(1+G158+G161)</f>
        <v>2304.12</v>
      </c>
      <c r="V190" s="77">
        <f>U190*(1+H158+H161)</f>
        <v>2442.3671999999997</v>
      </c>
      <c r="W190" s="77">
        <f>V190*(1+I158+I161)</f>
        <v>2588.9092319999991</v>
      </c>
      <c r="X190" s="77">
        <f>W190*(1+J158+J161)</f>
        <v>2731.2992397599987</v>
      </c>
      <c r="Y190" s="77">
        <f>X190*(1+K158+K161)</f>
        <v>2895.1771941455986</v>
      </c>
    </row>
    <row r="191" spans="1:32" x14ac:dyDescent="0.3">
      <c r="A191" s="45"/>
      <c r="B191" s="44"/>
      <c r="C191" s="46">
        <v>7425</v>
      </c>
      <c r="D191" s="56">
        <v>7574</v>
      </c>
      <c r="E191" s="51">
        <v>0.31</v>
      </c>
      <c r="F191" s="57">
        <f t="shared" si="47"/>
        <v>2.9669999999999996</v>
      </c>
      <c r="G191" s="57">
        <f t="shared" si="47"/>
        <v>3.1301849999999991</v>
      </c>
      <c r="H191" s="57">
        <f t="shared" si="47"/>
        <v>3.3179960999999989</v>
      </c>
      <c r="I191" s="57">
        <f t="shared" si="47"/>
        <v>3.5170758659999977</v>
      </c>
      <c r="J191" s="57">
        <f t="shared" si="47"/>
        <v>3.7281004179599981</v>
      </c>
      <c r="K191" s="57">
        <f t="shared" si="47"/>
        <v>3.9517864430375984</v>
      </c>
      <c r="L191" s="7"/>
      <c r="O191" s="114" t="s">
        <v>227</v>
      </c>
      <c r="P191" s="7"/>
      <c r="Q191" s="7"/>
      <c r="R191" s="61"/>
      <c r="S191" s="61"/>
      <c r="T191" s="77">
        <f>+F157</f>
        <v>2400</v>
      </c>
      <c r="U191" s="77">
        <f>T191*(1+G158+G162)</f>
        <v>2556</v>
      </c>
      <c r="V191" s="77">
        <f>U191*(1+H158+H162)</f>
        <v>2734.9199999999996</v>
      </c>
      <c r="W191" s="77">
        <f>V191*(1+I158+I162)</f>
        <v>2926.364399999999</v>
      </c>
      <c r="X191" s="77">
        <f>W191*(1+J158+J162)</f>
        <v>3116.5780859999986</v>
      </c>
      <c r="Y191" s="77">
        <f>X191*(1+K158+K162)</f>
        <v>3319.1556615899985</v>
      </c>
    </row>
    <row r="192" spans="1:32" x14ac:dyDescent="0.3">
      <c r="A192" s="45"/>
      <c r="B192" s="44"/>
      <c r="C192" s="46">
        <v>7575</v>
      </c>
      <c r="D192" s="56">
        <v>7724</v>
      </c>
      <c r="E192" s="51">
        <v>0.33</v>
      </c>
      <c r="F192" s="57">
        <f t="shared" si="47"/>
        <v>2.8809999999999998</v>
      </c>
      <c r="G192" s="57">
        <f t="shared" si="47"/>
        <v>3.0394549999999994</v>
      </c>
      <c r="H192" s="57">
        <f t="shared" si="47"/>
        <v>3.2218222999999986</v>
      </c>
      <c r="I192" s="57">
        <f t="shared" si="47"/>
        <v>3.4151316379999979</v>
      </c>
      <c r="J192" s="57">
        <f t="shared" si="47"/>
        <v>3.620039536279998</v>
      </c>
      <c r="K192" s="57">
        <f t="shared" si="47"/>
        <v>3.8372419084567984</v>
      </c>
      <c r="L192" s="7"/>
      <c r="O192" s="114" t="s">
        <v>140</v>
      </c>
      <c r="P192" s="7"/>
      <c r="Q192" s="7"/>
      <c r="R192" s="61"/>
      <c r="S192" s="61"/>
      <c r="T192" s="61"/>
      <c r="U192" s="77">
        <f>+U122*G169</f>
        <v>2901.3389999999999</v>
      </c>
      <c r="V192" s="77">
        <f>+V122*H169</f>
        <v>3122.4369891645001</v>
      </c>
      <c r="W192" s="77">
        <f>+W122*I169</f>
        <v>3393.654988480318</v>
      </c>
      <c r="X192" s="77">
        <f>+X122*J169</f>
        <v>3670.9505375890453</v>
      </c>
      <c r="Y192" s="77">
        <f>+Y122*K169</f>
        <v>3970.9039060154469</v>
      </c>
    </row>
    <row r="193" spans="1:25" x14ac:dyDescent="0.3">
      <c r="A193" s="45"/>
      <c r="B193" s="44"/>
      <c r="C193" s="46">
        <v>7725</v>
      </c>
      <c r="D193" s="56">
        <v>7874</v>
      </c>
      <c r="E193" s="51">
        <v>0.35</v>
      </c>
      <c r="F193" s="57">
        <f t="shared" si="47"/>
        <v>2.7949999999999999</v>
      </c>
      <c r="G193" s="57">
        <f t="shared" si="47"/>
        <v>2.9487249999999996</v>
      </c>
      <c r="H193" s="57">
        <f t="shared" si="47"/>
        <v>3.1256484999999992</v>
      </c>
      <c r="I193" s="57">
        <f t="shared" si="47"/>
        <v>3.3131874099999985</v>
      </c>
      <c r="J193" s="57">
        <f t="shared" si="47"/>
        <v>3.5119786545999987</v>
      </c>
      <c r="K193" s="57">
        <f t="shared" si="47"/>
        <v>3.7226973738759987</v>
      </c>
      <c r="L193" s="7"/>
      <c r="O193" s="114" t="s">
        <v>141</v>
      </c>
      <c r="P193" s="7"/>
      <c r="Q193" s="7"/>
      <c r="R193" s="61"/>
      <c r="S193" s="61"/>
      <c r="T193" s="61"/>
      <c r="U193" s="77">
        <f>+U122*G170</f>
        <v>1450.6695</v>
      </c>
      <c r="V193" s="77">
        <f>+V122*H170</f>
        <v>1561.2184945822501</v>
      </c>
      <c r="W193" s="77">
        <f>+W122*I170</f>
        <v>1696.827494240159</v>
      </c>
      <c r="X193" s="77">
        <f>+X122*J170</f>
        <v>1835.4752687945227</v>
      </c>
      <c r="Y193" s="77">
        <f>+Y122*K170</f>
        <v>1985.4519530077234</v>
      </c>
    </row>
    <row r="194" spans="1:25" x14ac:dyDescent="0.3">
      <c r="A194" s="45"/>
      <c r="B194" s="44"/>
      <c r="C194" s="46">
        <v>7875</v>
      </c>
      <c r="D194" s="56">
        <v>8024</v>
      </c>
      <c r="E194" s="51">
        <v>0.37</v>
      </c>
      <c r="F194" s="57">
        <f t="shared" ref="F194:K203" si="48">F$183*(1-$E194)</f>
        <v>2.7090000000000001</v>
      </c>
      <c r="G194" s="57">
        <f t="shared" si="48"/>
        <v>2.8579949999999994</v>
      </c>
      <c r="H194" s="57">
        <f t="shared" si="48"/>
        <v>3.0294746999999993</v>
      </c>
      <c r="I194" s="57">
        <f t="shared" si="48"/>
        <v>3.2112431819999983</v>
      </c>
      <c r="J194" s="57">
        <f t="shared" si="48"/>
        <v>3.4039177729199985</v>
      </c>
      <c r="K194" s="57">
        <f t="shared" si="48"/>
        <v>3.6081528392951987</v>
      </c>
      <c r="L194" s="7"/>
      <c r="O194" s="114" t="s">
        <v>238</v>
      </c>
      <c r="P194" s="7"/>
      <c r="Q194" s="7"/>
      <c r="R194" s="61"/>
      <c r="S194" s="125" t="s">
        <v>292</v>
      </c>
      <c r="T194" s="61"/>
      <c r="U194" s="77">
        <f>-SUM(U190:U193)*$G$176</f>
        <v>-8751.5220749999989</v>
      </c>
      <c r="V194" s="77">
        <f t="shared" ref="V194:Y194" si="49">-SUM(V190:V193)*$G$176</f>
        <v>-9367.8955495594109</v>
      </c>
      <c r="W194" s="77">
        <f t="shared" si="49"/>
        <v>-10075.468308984451</v>
      </c>
      <c r="X194" s="77">
        <f t="shared" si="49"/>
        <v>-10786.587975536386</v>
      </c>
      <c r="Y194" s="77">
        <f t="shared" si="49"/>
        <v>-11562.15427902083</v>
      </c>
    </row>
    <row r="195" spans="1:25" x14ac:dyDescent="0.3">
      <c r="A195" s="45"/>
      <c r="B195" s="44"/>
      <c r="C195" s="46">
        <v>8025</v>
      </c>
      <c r="D195" s="56">
        <v>8174</v>
      </c>
      <c r="E195" s="51">
        <v>0.39</v>
      </c>
      <c r="F195" s="57">
        <f t="shared" si="48"/>
        <v>2.6229999999999998</v>
      </c>
      <c r="G195" s="57">
        <f t="shared" si="48"/>
        <v>2.7672649999999996</v>
      </c>
      <c r="H195" s="57">
        <f t="shared" si="48"/>
        <v>2.933300899999999</v>
      </c>
      <c r="I195" s="57">
        <f t="shared" si="48"/>
        <v>3.1092989539999984</v>
      </c>
      <c r="J195" s="57">
        <f t="shared" si="48"/>
        <v>3.2958568912399984</v>
      </c>
      <c r="K195" s="57">
        <f t="shared" si="48"/>
        <v>3.4936083047143986</v>
      </c>
      <c r="L195" s="7"/>
      <c r="O195" s="114" t="s">
        <v>238</v>
      </c>
      <c r="P195" s="7"/>
      <c r="Q195" s="7"/>
      <c r="R195" s="61"/>
      <c r="S195" s="125" t="s">
        <v>292</v>
      </c>
      <c r="T195" s="61"/>
      <c r="U195" s="77"/>
      <c r="V195" s="77">
        <f>-SUM(U190:U193)*(1-$G$176)</f>
        <v>-460.60642500000034</v>
      </c>
      <c r="W195" s="77">
        <f t="shared" ref="W195:Y195" si="50">-SUM(V190:V193)*(1-$G$176)</f>
        <v>-493.04713418733792</v>
      </c>
      <c r="X195" s="77">
        <f t="shared" si="50"/>
        <v>-530.28780573602432</v>
      </c>
      <c r="Y195" s="77">
        <f t="shared" si="50"/>
        <v>-567.71515660717876</v>
      </c>
    </row>
    <row r="196" spans="1:25" x14ac:dyDescent="0.3">
      <c r="A196" s="45"/>
      <c r="B196" s="44"/>
      <c r="C196" s="46">
        <v>8175</v>
      </c>
      <c r="D196" s="56">
        <v>8324</v>
      </c>
      <c r="E196" s="51">
        <v>0.41</v>
      </c>
      <c r="F196" s="57">
        <f t="shared" si="48"/>
        <v>2.5370000000000004</v>
      </c>
      <c r="G196" s="57">
        <f t="shared" si="48"/>
        <v>2.6765349999999999</v>
      </c>
      <c r="H196" s="57">
        <f t="shared" si="48"/>
        <v>2.8371270999999996</v>
      </c>
      <c r="I196" s="57">
        <f t="shared" si="48"/>
        <v>3.0073547259999986</v>
      </c>
      <c r="J196" s="57">
        <f t="shared" si="48"/>
        <v>3.1877960095599991</v>
      </c>
      <c r="K196" s="57">
        <f t="shared" si="48"/>
        <v>3.3790637701335995</v>
      </c>
      <c r="L196" s="7"/>
      <c r="O196" s="66" t="s">
        <v>239</v>
      </c>
      <c r="P196" s="7"/>
      <c r="Q196" s="7"/>
      <c r="R196" s="61"/>
      <c r="S196" s="61"/>
      <c r="T196" s="61"/>
      <c r="U196" s="81">
        <f>SUM(U187:U195)</f>
        <v>460.60642499999994</v>
      </c>
      <c r="V196" s="81">
        <f t="shared" ref="V196:Y196" si="51">SUM(V187:V195)</f>
        <v>493.04713418733769</v>
      </c>
      <c r="W196" s="81">
        <f t="shared" si="51"/>
        <v>530.2878057360233</v>
      </c>
      <c r="X196" s="81">
        <f t="shared" si="51"/>
        <v>567.71515660717762</v>
      </c>
      <c r="Y196" s="81">
        <f t="shared" si="51"/>
        <v>608.53443573793641</v>
      </c>
    </row>
    <row r="197" spans="1:25" x14ac:dyDescent="0.3">
      <c r="A197" s="45"/>
      <c r="B197" s="44"/>
      <c r="C197" s="46">
        <v>8325</v>
      </c>
      <c r="D197" s="56">
        <v>8474</v>
      </c>
      <c r="E197" s="51">
        <v>0.43</v>
      </c>
      <c r="F197" s="57">
        <f t="shared" si="48"/>
        <v>2.4510000000000001</v>
      </c>
      <c r="G197" s="57">
        <f t="shared" si="48"/>
        <v>2.5858049999999997</v>
      </c>
      <c r="H197" s="57">
        <f t="shared" si="48"/>
        <v>2.7409532999999997</v>
      </c>
      <c r="I197" s="57">
        <f t="shared" si="48"/>
        <v>2.9054104979999988</v>
      </c>
      <c r="J197" s="57">
        <f t="shared" si="48"/>
        <v>3.0797351278799989</v>
      </c>
      <c r="K197" s="57">
        <f t="shared" si="48"/>
        <v>3.2645192355527994</v>
      </c>
      <c r="L197" s="7"/>
      <c r="O197" s="83"/>
      <c r="P197" s="7"/>
      <c r="Q197" s="7"/>
      <c r="R197" s="61"/>
      <c r="S197" s="61"/>
      <c r="T197" s="61"/>
      <c r="U197" s="67"/>
      <c r="V197" s="67"/>
      <c r="W197" s="67"/>
      <c r="X197" s="67"/>
      <c r="Y197" s="67"/>
    </row>
    <row r="198" spans="1:25" x14ac:dyDescent="0.3">
      <c r="A198" s="45"/>
      <c r="B198" s="44"/>
      <c r="C198" s="46">
        <v>8475</v>
      </c>
      <c r="D198" s="56">
        <v>8624</v>
      </c>
      <c r="E198" s="51">
        <v>0.44</v>
      </c>
      <c r="F198" s="57">
        <f t="shared" si="48"/>
        <v>2.4079999999999999</v>
      </c>
      <c r="G198" s="57">
        <f t="shared" si="48"/>
        <v>2.5404399999999998</v>
      </c>
      <c r="H198" s="57">
        <f t="shared" si="48"/>
        <v>2.6928663999999993</v>
      </c>
      <c r="I198" s="57">
        <f t="shared" si="48"/>
        <v>2.8544383839999989</v>
      </c>
      <c r="J198" s="57">
        <f t="shared" si="48"/>
        <v>3.0257046870399988</v>
      </c>
      <c r="K198" s="57">
        <f t="shared" si="48"/>
        <v>3.2072469682623992</v>
      </c>
      <c r="L198" s="7"/>
      <c r="O198" s="111" t="s">
        <v>274</v>
      </c>
      <c r="P198" s="112"/>
      <c r="Q198" s="112"/>
      <c r="R198" s="113"/>
      <c r="S198" s="61"/>
      <c r="T198" s="54" t="s">
        <v>126</v>
      </c>
      <c r="U198" s="54" t="s">
        <v>68</v>
      </c>
      <c r="V198" s="54" t="s">
        <v>69</v>
      </c>
      <c r="W198" s="54" t="s">
        <v>70</v>
      </c>
      <c r="X198" s="54" t="s">
        <v>76</v>
      </c>
      <c r="Y198" s="54" t="s">
        <v>127</v>
      </c>
    </row>
    <row r="199" spans="1:25" x14ac:dyDescent="0.3">
      <c r="A199" s="45"/>
      <c r="B199" s="44"/>
      <c r="C199" s="46">
        <v>8625</v>
      </c>
      <c r="D199" s="56">
        <v>8774</v>
      </c>
      <c r="E199" s="51">
        <v>0.46</v>
      </c>
      <c r="F199" s="57">
        <f t="shared" si="48"/>
        <v>2.3220000000000001</v>
      </c>
      <c r="G199" s="57">
        <f t="shared" si="48"/>
        <v>2.4497099999999996</v>
      </c>
      <c r="H199" s="57">
        <f t="shared" si="48"/>
        <v>2.5966925999999995</v>
      </c>
      <c r="I199" s="57">
        <f t="shared" si="48"/>
        <v>2.7524941559999987</v>
      </c>
      <c r="J199" s="57">
        <f t="shared" si="48"/>
        <v>2.9176438053599987</v>
      </c>
      <c r="K199" s="57">
        <f t="shared" si="48"/>
        <v>3.0927024336815991</v>
      </c>
      <c r="L199" s="7"/>
      <c r="O199" s="45"/>
      <c r="P199" s="7"/>
      <c r="Q199" s="7"/>
      <c r="R199" s="61"/>
      <c r="S199" s="61"/>
      <c r="T199" s="61"/>
      <c r="U199" s="61"/>
      <c r="V199" s="61"/>
      <c r="W199" s="54"/>
      <c r="X199" s="54"/>
      <c r="Y199" s="54"/>
    </row>
    <row r="200" spans="1:25" x14ac:dyDescent="0.3">
      <c r="A200" s="45"/>
      <c r="B200" s="44"/>
      <c r="C200" s="46">
        <v>8775</v>
      </c>
      <c r="D200" s="56">
        <v>8924</v>
      </c>
      <c r="E200" s="51">
        <v>0.48</v>
      </c>
      <c r="F200" s="57">
        <f t="shared" si="48"/>
        <v>2.2359999999999998</v>
      </c>
      <c r="G200" s="57">
        <f t="shared" si="48"/>
        <v>2.3589799999999999</v>
      </c>
      <c r="H200" s="57">
        <f t="shared" si="48"/>
        <v>2.5005187999999992</v>
      </c>
      <c r="I200" s="57">
        <f t="shared" si="48"/>
        <v>2.6505499279999989</v>
      </c>
      <c r="J200" s="57">
        <f t="shared" si="48"/>
        <v>2.809582923679999</v>
      </c>
      <c r="K200" s="57">
        <f t="shared" si="48"/>
        <v>2.9781578991007991</v>
      </c>
      <c r="L200" s="7"/>
      <c r="O200" s="66" t="s">
        <v>236</v>
      </c>
      <c r="P200" s="7"/>
      <c r="Q200" s="7"/>
      <c r="R200" s="61"/>
      <c r="S200" s="61"/>
      <c r="T200" s="61"/>
      <c r="U200" s="110">
        <f>+T200</f>
        <v>0</v>
      </c>
      <c r="V200" s="80">
        <f>+U204</f>
        <v>188.40796355955854</v>
      </c>
      <c r="W200" s="80">
        <f>+V204</f>
        <v>163.53584086510182</v>
      </c>
      <c r="X200" s="80">
        <f>+W204</f>
        <v>1117.4006482894047</v>
      </c>
      <c r="Y200" s="80">
        <f>+X204</f>
        <v>1229.2753456702812</v>
      </c>
    </row>
    <row r="201" spans="1:25" x14ac:dyDescent="0.3">
      <c r="A201" s="45"/>
      <c r="B201" s="44"/>
      <c r="C201" s="46">
        <v>8925</v>
      </c>
      <c r="D201" s="56">
        <v>9074</v>
      </c>
      <c r="E201" s="51">
        <v>0.49</v>
      </c>
      <c r="F201" s="57">
        <f t="shared" si="48"/>
        <v>2.1930000000000001</v>
      </c>
      <c r="G201" s="57">
        <f t="shared" si="48"/>
        <v>2.3136149999999995</v>
      </c>
      <c r="H201" s="57">
        <f t="shared" si="48"/>
        <v>2.4524318999999992</v>
      </c>
      <c r="I201" s="57">
        <f t="shared" si="48"/>
        <v>2.5995778139999985</v>
      </c>
      <c r="J201" s="57">
        <f t="shared" si="48"/>
        <v>2.7555524828399989</v>
      </c>
      <c r="K201" s="57">
        <f t="shared" si="48"/>
        <v>2.9208856318103993</v>
      </c>
      <c r="L201" s="7"/>
      <c r="O201" s="45" t="s">
        <v>275</v>
      </c>
      <c r="P201" s="7"/>
      <c r="Q201" s="7"/>
      <c r="R201" s="61"/>
      <c r="S201" s="61"/>
      <c r="T201" s="61"/>
      <c r="U201" s="77">
        <f>-+AB129</f>
        <v>2606.1904635595588</v>
      </c>
      <c r="V201" s="77">
        <f>-+AC129</f>
        <v>2765.5666651688525</v>
      </c>
      <c r="W201" s="77">
        <f>-+AD129</f>
        <v>3945.446472023003</v>
      </c>
      <c r="X201" s="77">
        <f>-+AE129</f>
        <v>4288.4007936611524</v>
      </c>
      <c r="Y201" s="77">
        <f>-+AF129</f>
        <v>5941.0931042156535</v>
      </c>
    </row>
    <row r="202" spans="1:25" x14ac:dyDescent="0.3">
      <c r="A202" s="45"/>
      <c r="B202" s="44"/>
      <c r="C202" s="46">
        <v>9075</v>
      </c>
      <c r="D202" s="56">
        <v>9224</v>
      </c>
      <c r="E202" s="51">
        <v>0.51</v>
      </c>
      <c r="F202" s="57">
        <f t="shared" si="48"/>
        <v>2.1069999999999998</v>
      </c>
      <c r="G202" s="57">
        <f t="shared" si="48"/>
        <v>2.2228849999999998</v>
      </c>
      <c r="H202" s="57">
        <f t="shared" si="48"/>
        <v>2.3562580999999994</v>
      </c>
      <c r="I202" s="57">
        <f t="shared" si="48"/>
        <v>2.4976335859999987</v>
      </c>
      <c r="J202" s="57">
        <f t="shared" si="48"/>
        <v>2.6474916011599987</v>
      </c>
      <c r="K202" s="57">
        <f t="shared" si="48"/>
        <v>2.8063410972295988</v>
      </c>
      <c r="L202" s="7"/>
      <c r="O202" s="45" t="s">
        <v>276</v>
      </c>
      <c r="P202" s="7"/>
      <c r="Q202" s="7"/>
      <c r="R202" s="61"/>
      <c r="S202" s="125" t="s">
        <v>295</v>
      </c>
      <c r="T202" s="61"/>
      <c r="U202" s="77">
        <f>-U125*$G$126</f>
        <v>-2417.7825000000003</v>
      </c>
      <c r="V202" s="77">
        <f t="shared" ref="V202:Y202" si="52">-V125*$G$126</f>
        <v>-2602.0308243037507</v>
      </c>
      <c r="W202" s="77">
        <f t="shared" si="52"/>
        <v>-2828.0458237335988</v>
      </c>
      <c r="X202" s="77">
        <f t="shared" si="52"/>
        <v>-3059.1254479908712</v>
      </c>
      <c r="Y202" s="77">
        <f t="shared" si="52"/>
        <v>-3309.0865883462061</v>
      </c>
    </row>
    <row r="203" spans="1:25" x14ac:dyDescent="0.3">
      <c r="A203" s="45"/>
      <c r="B203" s="44"/>
      <c r="C203" s="46">
        <v>9225</v>
      </c>
      <c r="D203" s="56" t="s">
        <v>154</v>
      </c>
      <c r="E203" s="51">
        <v>0.53</v>
      </c>
      <c r="F203" s="57">
        <f t="shared" si="48"/>
        <v>2.0209999999999999</v>
      </c>
      <c r="G203" s="57">
        <f t="shared" si="48"/>
        <v>2.1321549999999996</v>
      </c>
      <c r="H203" s="57">
        <f t="shared" si="48"/>
        <v>2.260084299999999</v>
      </c>
      <c r="I203" s="57">
        <f t="shared" si="48"/>
        <v>2.3956893579999985</v>
      </c>
      <c r="J203" s="57">
        <f t="shared" si="48"/>
        <v>2.5394307194799985</v>
      </c>
      <c r="K203" s="57">
        <f t="shared" si="48"/>
        <v>2.6917965626487987</v>
      </c>
      <c r="L203" s="7"/>
      <c r="O203" s="45" t="s">
        <v>280</v>
      </c>
      <c r="P203" s="7"/>
      <c r="Q203" s="7"/>
      <c r="R203" s="61"/>
      <c r="S203" s="125" t="s">
        <v>295</v>
      </c>
      <c r="T203" s="61"/>
      <c r="U203" s="77">
        <v>0</v>
      </c>
      <c r="V203" s="77">
        <f>-U204</f>
        <v>-188.40796355955854</v>
      </c>
      <c r="W203" s="77">
        <f>-V204</f>
        <v>-163.53584086510182</v>
      </c>
      <c r="X203" s="77">
        <f>-W204</f>
        <v>-1117.4006482894047</v>
      </c>
      <c r="Y203" s="77">
        <f>-X204</f>
        <v>-1229.2753456702812</v>
      </c>
    </row>
    <row r="204" spans="1:25" x14ac:dyDescent="0.3">
      <c r="A204" s="45"/>
      <c r="B204" s="7"/>
      <c r="C204" s="7"/>
      <c r="D204" s="7"/>
      <c r="E204" s="7"/>
      <c r="F204" s="7"/>
      <c r="G204" s="50"/>
      <c r="H204" s="50"/>
      <c r="I204" s="54"/>
      <c r="J204" s="54"/>
      <c r="K204" s="54"/>
      <c r="L204" s="7"/>
      <c r="O204" s="66" t="s">
        <v>239</v>
      </c>
      <c r="P204" s="7"/>
      <c r="Q204" s="7"/>
      <c r="R204" s="61"/>
      <c r="S204" s="61"/>
      <c r="T204" s="61"/>
      <c r="U204" s="81">
        <f>SUM(U200:U203)</f>
        <v>188.40796355955854</v>
      </c>
      <c r="V204" s="81">
        <f t="shared" ref="V204:Y204" si="53">SUM(V200:V203)</f>
        <v>163.53584086510182</v>
      </c>
      <c r="W204" s="81">
        <f t="shared" si="53"/>
        <v>1117.4006482894047</v>
      </c>
      <c r="X204" s="81">
        <f t="shared" si="53"/>
        <v>1229.2753456702812</v>
      </c>
      <c r="Y204" s="81">
        <f t="shared" si="53"/>
        <v>2632.0065158694474</v>
      </c>
    </row>
    <row r="205" spans="1:25" x14ac:dyDescent="0.3">
      <c r="A205" s="52" t="s">
        <v>150</v>
      </c>
      <c r="B205" s="7"/>
      <c r="C205" s="7"/>
      <c r="D205" s="7"/>
      <c r="E205" s="7"/>
      <c r="F205" s="7"/>
      <c r="G205" s="50"/>
      <c r="H205" s="50"/>
      <c r="I205" s="54"/>
      <c r="J205" s="54"/>
      <c r="K205" s="54"/>
      <c r="L205" s="7"/>
      <c r="O205" s="83"/>
      <c r="P205" s="7"/>
      <c r="Q205" s="7"/>
      <c r="R205" s="61"/>
      <c r="S205" s="61"/>
      <c r="T205" s="61"/>
      <c r="U205" s="67"/>
      <c r="V205" s="67"/>
      <c r="W205" s="67"/>
      <c r="X205" s="67"/>
      <c r="Y205" s="67"/>
    </row>
    <row r="206" spans="1:25" x14ac:dyDescent="0.3">
      <c r="A206" s="45"/>
      <c r="B206" s="7"/>
      <c r="C206" s="54" t="s">
        <v>158</v>
      </c>
      <c r="D206" s="54" t="s">
        <v>160</v>
      </c>
      <c r="E206" s="54" t="s">
        <v>162</v>
      </c>
      <c r="F206" s="54" t="s">
        <v>162</v>
      </c>
      <c r="G206" s="50"/>
      <c r="H206" s="50"/>
      <c r="I206" s="54"/>
      <c r="J206" s="54"/>
      <c r="K206" s="54"/>
      <c r="L206" s="7"/>
      <c r="O206" s="111" t="s">
        <v>304</v>
      </c>
      <c r="P206" s="112"/>
      <c r="Q206" s="112"/>
      <c r="R206" s="113"/>
      <c r="S206" s="61"/>
      <c r="T206" s="54" t="s">
        <v>126</v>
      </c>
      <c r="U206" s="54" t="s">
        <v>68</v>
      </c>
      <c r="V206" s="54" t="s">
        <v>69</v>
      </c>
      <c r="W206" s="54" t="s">
        <v>70</v>
      </c>
      <c r="X206" s="54" t="s">
        <v>76</v>
      </c>
      <c r="Y206" s="54" t="s">
        <v>127</v>
      </c>
    </row>
    <row r="207" spans="1:25" x14ac:dyDescent="0.3">
      <c r="A207" s="45"/>
      <c r="B207" s="7"/>
      <c r="C207" s="54" t="s">
        <v>159</v>
      </c>
      <c r="D207" s="54" t="s">
        <v>161</v>
      </c>
      <c r="E207" s="54" t="s">
        <v>163</v>
      </c>
      <c r="F207" s="54" t="s">
        <v>160</v>
      </c>
      <c r="G207" s="50"/>
      <c r="H207" s="50"/>
      <c r="I207" s="54"/>
      <c r="J207" s="54"/>
      <c r="K207" s="54"/>
      <c r="L207" s="7"/>
      <c r="O207" s="45"/>
      <c r="P207" s="7"/>
      <c r="Q207" s="7"/>
      <c r="R207" s="61"/>
      <c r="S207" s="61"/>
      <c r="T207" s="61"/>
      <c r="U207" s="61"/>
      <c r="V207" s="61"/>
      <c r="W207" s="54"/>
      <c r="X207" s="54"/>
      <c r="Y207" s="54"/>
    </row>
    <row r="208" spans="1:25" x14ac:dyDescent="0.3">
      <c r="A208" s="45"/>
      <c r="B208" s="7"/>
      <c r="C208" s="58">
        <v>3</v>
      </c>
      <c r="D208" s="56">
        <v>8850.2000000000007</v>
      </c>
      <c r="E208" s="7"/>
      <c r="F208" s="7"/>
      <c r="G208" s="50"/>
      <c r="H208" s="50"/>
      <c r="I208" s="54"/>
      <c r="J208" s="54"/>
      <c r="K208" s="54"/>
      <c r="L208" s="7"/>
      <c r="O208" s="66" t="s">
        <v>236</v>
      </c>
      <c r="P208" s="7"/>
      <c r="Q208" s="7"/>
      <c r="R208" s="61"/>
      <c r="S208" s="61"/>
      <c r="T208" s="61"/>
      <c r="U208" s="110">
        <v>0</v>
      </c>
      <c r="V208" s="80">
        <f>+U211</f>
        <v>4840.0680037534676</v>
      </c>
      <c r="W208" s="80">
        <f t="shared" ref="W208:Y208" si="54">+V211</f>
        <v>6588.0727792967673</v>
      </c>
      <c r="X208" s="80">
        <f t="shared" si="54"/>
        <v>10320.093848334265</v>
      </c>
      <c r="Y208" s="80">
        <f t="shared" si="54"/>
        <v>13155.186337217929</v>
      </c>
    </row>
    <row r="209" spans="1:32" x14ac:dyDescent="0.3">
      <c r="A209" s="45"/>
      <c r="B209" s="7"/>
      <c r="C209" s="58">
        <f>+C208+0.5</f>
        <v>3.5</v>
      </c>
      <c r="D209" s="56">
        <v>8385.2999999999993</v>
      </c>
      <c r="E209" s="59">
        <f>+(C209-C208)/C208</f>
        <v>0.16666666666666666</v>
      </c>
      <c r="F209" s="59">
        <f>(+D209-D208)/D208</f>
        <v>-5.2529886330252587E-2</v>
      </c>
      <c r="G209" s="50">
        <f>-+F209/E209</f>
        <v>0.31517931798151555</v>
      </c>
      <c r="H209" s="50"/>
      <c r="I209" s="54"/>
      <c r="J209" s="54"/>
      <c r="K209" s="54"/>
      <c r="L209" s="7"/>
      <c r="O209" s="45" t="s">
        <v>282</v>
      </c>
      <c r="P209" s="7"/>
      <c r="Q209" s="7"/>
      <c r="R209" s="61"/>
      <c r="S209" s="61"/>
      <c r="T209" s="61"/>
      <c r="U209" s="77">
        <f>+AB130</f>
        <v>4840.0680037534676</v>
      </c>
      <c r="V209" s="77">
        <f t="shared" ref="V209:Y209" si="55">+AC130</f>
        <v>5136.052378170727</v>
      </c>
      <c r="W209" s="77">
        <f t="shared" si="55"/>
        <v>7327.2577337570074</v>
      </c>
      <c r="X209" s="77">
        <f t="shared" si="55"/>
        <v>7964.1729025135701</v>
      </c>
      <c r="Y209" s="77">
        <f t="shared" si="55"/>
        <v>11033.458622114786</v>
      </c>
    </row>
    <row r="210" spans="1:32" x14ac:dyDescent="0.3">
      <c r="A210" s="45"/>
      <c r="B210" s="7"/>
      <c r="C210" s="58">
        <f t="shared" ref="C210:C224" si="56">+C209+0.5</f>
        <v>4</v>
      </c>
      <c r="D210" s="56">
        <v>8002.4</v>
      </c>
      <c r="E210" s="59">
        <f t="shared" ref="E210:E224" si="57">+(C210-C209)/C209</f>
        <v>0.14285714285714285</v>
      </c>
      <c r="F210" s="59">
        <f t="shared" ref="F210:F224" si="58">(+D210-D209)/D209</f>
        <v>-4.5663244010351406E-2</v>
      </c>
      <c r="G210" s="50">
        <f t="shared" ref="G210:G224" si="59">-+F210/E210</f>
        <v>0.31964270807245987</v>
      </c>
      <c r="H210" s="50"/>
      <c r="I210" s="54"/>
      <c r="J210" s="54"/>
      <c r="K210" s="54"/>
      <c r="L210" s="7"/>
      <c r="O210" s="45" t="s">
        <v>283</v>
      </c>
      <c r="P210" s="7"/>
      <c r="Q210" s="7"/>
      <c r="R210" s="61"/>
      <c r="S210" s="61"/>
      <c r="T210" s="61"/>
      <c r="U210" s="77"/>
      <c r="V210" s="77">
        <f>-U209*$G$177</f>
        <v>-3388.0476026274273</v>
      </c>
      <c r="W210" s="77">
        <f t="shared" ref="W210:Y210" si="60">-V209*$G$177</f>
        <v>-3595.2366647195086</v>
      </c>
      <c r="X210" s="77">
        <f t="shared" si="60"/>
        <v>-5129.0804136299048</v>
      </c>
      <c r="Y210" s="77">
        <f t="shared" si="60"/>
        <v>-5574.9210317594989</v>
      </c>
    </row>
    <row r="211" spans="1:32" x14ac:dyDescent="0.3">
      <c r="A211" s="45"/>
      <c r="B211" s="7"/>
      <c r="C211" s="58">
        <f t="shared" si="56"/>
        <v>4.5</v>
      </c>
      <c r="D211" s="56">
        <v>7679.3</v>
      </c>
      <c r="E211" s="59">
        <f t="shared" si="57"/>
        <v>0.125</v>
      </c>
      <c r="F211" s="59">
        <f t="shared" si="58"/>
        <v>-4.0375387383784801E-2</v>
      </c>
      <c r="G211" s="50">
        <f t="shared" si="59"/>
        <v>0.32300309907027841</v>
      </c>
      <c r="H211" s="50"/>
      <c r="I211" s="54"/>
      <c r="J211" s="54"/>
      <c r="K211" s="54"/>
      <c r="L211" s="7"/>
      <c r="O211" s="66" t="s">
        <v>239</v>
      </c>
      <c r="P211" s="7"/>
      <c r="Q211" s="7"/>
      <c r="R211" s="61"/>
      <c r="S211" s="61"/>
      <c r="T211" s="61"/>
      <c r="U211" s="81">
        <f>SUM(U208:U210)</f>
        <v>4840.0680037534676</v>
      </c>
      <c r="V211" s="81">
        <f t="shared" ref="V211:Y211" si="61">SUM(V208:V210)</f>
        <v>6588.0727792967673</v>
      </c>
      <c r="W211" s="81">
        <f t="shared" si="61"/>
        <v>10320.093848334265</v>
      </c>
      <c r="X211" s="81">
        <f t="shared" si="61"/>
        <v>13155.186337217929</v>
      </c>
      <c r="Y211" s="81">
        <f t="shared" si="61"/>
        <v>18613.723927573214</v>
      </c>
    </row>
    <row r="212" spans="1:32" x14ac:dyDescent="0.3">
      <c r="A212" s="45"/>
      <c r="B212" s="7"/>
      <c r="C212" s="58">
        <f t="shared" si="56"/>
        <v>5</v>
      </c>
      <c r="D212" s="56">
        <v>7401.2</v>
      </c>
      <c r="E212" s="59">
        <f t="shared" si="57"/>
        <v>0.1111111111111111</v>
      </c>
      <c r="F212" s="59">
        <f t="shared" si="58"/>
        <v>-3.6214238276926332E-2</v>
      </c>
      <c r="G212" s="50">
        <f t="shared" si="59"/>
        <v>0.32592814449233698</v>
      </c>
      <c r="H212" s="50"/>
      <c r="I212" s="54"/>
      <c r="J212" s="54"/>
      <c r="K212" s="54"/>
      <c r="L212" s="7"/>
    </row>
    <row r="213" spans="1:32" x14ac:dyDescent="0.3">
      <c r="A213" s="45"/>
      <c r="B213" s="7"/>
      <c r="C213" s="58">
        <f t="shared" si="56"/>
        <v>5.5</v>
      </c>
      <c r="D213" s="56">
        <v>7158.4</v>
      </c>
      <c r="E213" s="59">
        <f t="shared" si="57"/>
        <v>0.1</v>
      </c>
      <c r="F213" s="59">
        <f t="shared" si="58"/>
        <v>-3.2805491001459249E-2</v>
      </c>
      <c r="G213" s="50">
        <f t="shared" si="59"/>
        <v>0.32805491001459247</v>
      </c>
      <c r="H213" s="50"/>
      <c r="I213" s="54"/>
      <c r="J213" s="54"/>
      <c r="K213" s="54"/>
      <c r="L213" s="7"/>
      <c r="O213" s="111" t="s">
        <v>284</v>
      </c>
      <c r="P213" s="112"/>
      <c r="Q213" s="112"/>
      <c r="R213" s="113"/>
      <c r="S213" s="61"/>
      <c r="T213" s="54" t="s">
        <v>126</v>
      </c>
      <c r="U213" s="54" t="s">
        <v>68</v>
      </c>
      <c r="V213" s="54" t="s">
        <v>69</v>
      </c>
      <c r="W213" s="54" t="s">
        <v>70</v>
      </c>
      <c r="X213" s="54" t="s">
        <v>76</v>
      </c>
      <c r="Y213" s="54" t="s">
        <v>127</v>
      </c>
    </row>
    <row r="214" spans="1:32" x14ac:dyDescent="0.3">
      <c r="A214" s="45"/>
      <c r="B214" s="7"/>
      <c r="C214" s="58">
        <f t="shared" si="56"/>
        <v>6</v>
      </c>
      <c r="D214" s="56">
        <v>6944.7</v>
      </c>
      <c r="E214" s="59">
        <f t="shared" si="57"/>
        <v>9.0909090909090912E-2</v>
      </c>
      <c r="F214" s="59">
        <f t="shared" si="58"/>
        <v>-2.9853039785426888E-2</v>
      </c>
      <c r="G214" s="50">
        <f t="shared" si="59"/>
        <v>0.32838343763969574</v>
      </c>
      <c r="H214" s="50"/>
      <c r="I214" s="54"/>
      <c r="J214" s="54"/>
      <c r="K214" s="54"/>
      <c r="L214" s="7"/>
      <c r="O214" s="45"/>
      <c r="P214" s="7"/>
      <c r="Q214" s="7"/>
      <c r="R214" s="61"/>
      <c r="S214" s="61"/>
      <c r="T214" s="61"/>
      <c r="U214" s="61"/>
      <c r="V214" s="61"/>
      <c r="W214" s="54"/>
      <c r="X214" s="54"/>
      <c r="Y214" s="54"/>
    </row>
    <row r="215" spans="1:32" ht="18" thickBot="1" x14ac:dyDescent="0.35">
      <c r="A215" s="45"/>
      <c r="B215" s="7"/>
      <c r="C215" s="58">
        <f t="shared" si="56"/>
        <v>6.5</v>
      </c>
      <c r="D215" s="56">
        <v>6752.9</v>
      </c>
      <c r="E215" s="59">
        <f t="shared" si="57"/>
        <v>8.3333333333333329E-2</v>
      </c>
      <c r="F215" s="59">
        <f t="shared" si="58"/>
        <v>-2.7618183650841677E-2</v>
      </c>
      <c r="G215" s="50">
        <f t="shared" si="59"/>
        <v>0.33141820381010012</v>
      </c>
      <c r="H215" s="50"/>
      <c r="I215" s="54"/>
      <c r="J215" s="54"/>
      <c r="K215" s="54"/>
      <c r="L215" s="7"/>
      <c r="O215" s="66" t="s">
        <v>236</v>
      </c>
      <c r="P215" s="7"/>
      <c r="Q215" s="7"/>
      <c r="R215" s="61"/>
      <c r="S215" s="61"/>
      <c r="T215" s="77">
        <f>+G139</f>
        <v>1552</v>
      </c>
      <c r="U215" s="110">
        <f>+T215</f>
        <v>1552</v>
      </c>
      <c r="V215" s="80">
        <f>+U227</f>
        <v>10742.437772442596</v>
      </c>
      <c r="W215" s="80">
        <f>+V227</f>
        <v>16247.023946834539</v>
      </c>
      <c r="X215" s="80">
        <f>+W227</f>
        <v>24353.63585688399</v>
      </c>
      <c r="Y215" s="80">
        <f>+X227</f>
        <v>2186.2195129826287</v>
      </c>
    </row>
    <row r="216" spans="1:32" ht="18" thickBot="1" x14ac:dyDescent="0.35">
      <c r="A216" s="45"/>
      <c r="B216" s="71"/>
      <c r="C216" s="72">
        <f t="shared" si="56"/>
        <v>7</v>
      </c>
      <c r="D216" s="73">
        <v>6579</v>
      </c>
      <c r="E216" s="74">
        <f t="shared" si="57"/>
        <v>7.6923076923076927E-2</v>
      </c>
      <c r="F216" s="74">
        <f t="shared" si="58"/>
        <v>-2.5751899184054204E-2</v>
      </c>
      <c r="G216" s="75">
        <f t="shared" si="59"/>
        <v>0.33477468939270466</v>
      </c>
      <c r="H216" s="76"/>
      <c r="I216" s="54"/>
      <c r="J216" s="54"/>
      <c r="K216" s="54"/>
      <c r="L216" s="7"/>
      <c r="O216" s="45"/>
      <c r="P216" s="7"/>
      <c r="Q216" s="7"/>
      <c r="R216" s="61"/>
      <c r="S216" s="61"/>
      <c r="T216" s="61"/>
      <c r="U216" s="77"/>
      <c r="V216" s="77"/>
      <c r="W216" s="77"/>
      <c r="X216" s="77"/>
      <c r="Y216" s="77"/>
    </row>
    <row r="217" spans="1:32" x14ac:dyDescent="0.3">
      <c r="A217" s="45"/>
      <c r="B217" s="7"/>
      <c r="C217" s="58">
        <f t="shared" si="56"/>
        <v>7.5</v>
      </c>
      <c r="D217" s="56">
        <v>6422</v>
      </c>
      <c r="E217" s="59">
        <f t="shared" si="57"/>
        <v>7.1428571428571425E-2</v>
      </c>
      <c r="F217" s="59">
        <f t="shared" si="58"/>
        <v>-2.3863809089527285E-2</v>
      </c>
      <c r="G217" s="50">
        <f t="shared" si="59"/>
        <v>0.33409332725338198</v>
      </c>
      <c r="H217" s="50"/>
      <c r="I217" s="54"/>
      <c r="J217" s="54"/>
      <c r="K217" s="54"/>
      <c r="L217" s="7"/>
      <c r="O217" s="45" t="s">
        <v>83</v>
      </c>
      <c r="P217" s="7"/>
      <c r="Q217" s="7"/>
      <c r="R217" s="61"/>
      <c r="S217" s="125" t="s">
        <v>285</v>
      </c>
      <c r="T217" s="61"/>
      <c r="U217" s="77">
        <f>-U126-U127</f>
        <v>45937.8675</v>
      </c>
      <c r="V217" s="77">
        <f t="shared" ref="V217:Y217" si="62">-V126-V127</f>
        <v>51856.368161771257</v>
      </c>
      <c r="W217" s="77">
        <f t="shared" si="62"/>
        <v>56334.901475242121</v>
      </c>
      <c r="X217" s="77">
        <f t="shared" si="62"/>
        <v>60951.429335560148</v>
      </c>
      <c r="Y217" s="77">
        <f t="shared" si="62"/>
        <v>65931.770626568774</v>
      </c>
    </row>
    <row r="218" spans="1:32" x14ac:dyDescent="0.3">
      <c r="A218" s="45"/>
      <c r="B218" s="7"/>
      <c r="C218" s="58">
        <f t="shared" si="56"/>
        <v>8</v>
      </c>
      <c r="D218" s="56">
        <v>6279.6</v>
      </c>
      <c r="E218" s="59">
        <f t="shared" si="57"/>
        <v>6.6666666666666666E-2</v>
      </c>
      <c r="F218" s="59">
        <f t="shared" si="58"/>
        <v>-2.2173777639364626E-2</v>
      </c>
      <c r="G218" s="50">
        <f t="shared" si="59"/>
        <v>0.33260666459046939</v>
      </c>
      <c r="H218" s="50"/>
      <c r="I218" s="54"/>
      <c r="J218" s="54"/>
      <c r="K218" s="54"/>
      <c r="L218" s="7"/>
      <c r="O218" s="45" t="s">
        <v>89</v>
      </c>
      <c r="P218" s="7"/>
      <c r="Q218" s="7"/>
      <c r="R218" s="61"/>
      <c r="S218" s="125" t="s">
        <v>289</v>
      </c>
      <c r="T218" s="61"/>
      <c r="U218" s="77">
        <f>+U173</f>
        <v>-22137.919177959997</v>
      </c>
      <c r="V218" s="77">
        <f t="shared" ref="V218:Y218" si="63">+V173</f>
        <v>-26904.587647731762</v>
      </c>
      <c r="W218" s="77">
        <f t="shared" si="63"/>
        <v>-27632.749818105265</v>
      </c>
      <c r="X218" s="77">
        <f t="shared" si="63"/>
        <v>-29369.157413681503</v>
      </c>
      <c r="Y218" s="77">
        <f t="shared" si="63"/>
        <v>-30624.334852724169</v>
      </c>
    </row>
    <row r="219" spans="1:32" x14ac:dyDescent="0.3">
      <c r="A219" s="45"/>
      <c r="B219" s="7"/>
      <c r="C219" s="58">
        <f t="shared" si="56"/>
        <v>8.5</v>
      </c>
      <c r="D219" s="56">
        <v>6147.8</v>
      </c>
      <c r="E219" s="59">
        <f t="shared" si="57"/>
        <v>6.25E-2</v>
      </c>
      <c r="F219" s="59">
        <f t="shared" si="58"/>
        <v>-2.098859799987263E-2</v>
      </c>
      <c r="G219" s="50">
        <f t="shared" si="59"/>
        <v>0.33581756799796209</v>
      </c>
      <c r="H219" s="50"/>
      <c r="I219" s="54"/>
      <c r="J219" s="54"/>
      <c r="K219" s="54"/>
      <c r="L219" s="7"/>
      <c r="O219" s="45" t="s">
        <v>293</v>
      </c>
      <c r="P219" s="7"/>
      <c r="Q219" s="7"/>
      <c r="R219" s="61"/>
      <c r="S219" s="125" t="s">
        <v>292</v>
      </c>
      <c r="T219" s="61"/>
      <c r="U219" s="77">
        <f>+U194+U195</f>
        <v>-8751.5220749999989</v>
      </c>
      <c r="V219" s="77">
        <f t="shared" ref="V219:Y219" si="64">+V194+V195</f>
        <v>-9828.5019745594109</v>
      </c>
      <c r="W219" s="77">
        <f t="shared" si="64"/>
        <v>-10568.515443171789</v>
      </c>
      <c r="X219" s="77">
        <f t="shared" si="64"/>
        <v>-11316.875781272411</v>
      </c>
      <c r="Y219" s="77">
        <f t="shared" si="64"/>
        <v>-12129.869435628008</v>
      </c>
    </row>
    <row r="220" spans="1:32" x14ac:dyDescent="0.3">
      <c r="A220" s="45"/>
      <c r="B220" s="7"/>
      <c r="C220" s="58">
        <f t="shared" si="56"/>
        <v>9</v>
      </c>
      <c r="D220" s="56">
        <v>6025</v>
      </c>
      <c r="E220" s="59">
        <f t="shared" si="57"/>
        <v>5.8823529411764705E-2</v>
      </c>
      <c r="F220" s="59">
        <f t="shared" si="58"/>
        <v>-1.9974625069130451E-2</v>
      </c>
      <c r="G220" s="50">
        <f t="shared" si="59"/>
        <v>0.33956862617521766</v>
      </c>
      <c r="H220" s="50"/>
      <c r="I220" s="54"/>
      <c r="J220" s="54"/>
      <c r="K220" s="54"/>
      <c r="L220" s="7"/>
      <c r="O220" s="45" t="s">
        <v>294</v>
      </c>
      <c r="P220" s="7"/>
      <c r="Q220" s="7"/>
      <c r="R220" s="61"/>
      <c r="S220" s="125" t="s">
        <v>295</v>
      </c>
      <c r="T220" s="61"/>
      <c r="U220" s="77">
        <f>+U202+U203</f>
        <v>-2417.7825000000003</v>
      </c>
      <c r="V220" s="77">
        <f t="shared" ref="V220:Y220" si="65">+V202+V203</f>
        <v>-2790.4387878633092</v>
      </c>
      <c r="W220" s="77">
        <f t="shared" si="65"/>
        <v>-2991.5816645987006</v>
      </c>
      <c r="X220" s="77">
        <f t="shared" si="65"/>
        <v>-4176.5260962802759</v>
      </c>
      <c r="Y220" s="77">
        <f t="shared" si="65"/>
        <v>-4538.3619340164878</v>
      </c>
    </row>
    <row r="221" spans="1:32" x14ac:dyDescent="0.3">
      <c r="A221" s="45"/>
      <c r="B221" s="7"/>
      <c r="C221" s="58">
        <f t="shared" si="56"/>
        <v>9.5</v>
      </c>
      <c r="D221" s="56">
        <v>5912.1</v>
      </c>
      <c r="E221" s="59">
        <f t="shared" si="57"/>
        <v>5.5555555555555552E-2</v>
      </c>
      <c r="F221" s="59">
        <f t="shared" si="58"/>
        <v>-1.8738589211618199E-2</v>
      </c>
      <c r="G221" s="50">
        <f t="shared" si="59"/>
        <v>0.33729460580912757</v>
      </c>
      <c r="H221" s="50"/>
      <c r="I221" s="54"/>
      <c r="J221" s="54"/>
      <c r="K221" s="54"/>
      <c r="L221" s="7"/>
      <c r="O221" s="45"/>
      <c r="P221" s="7"/>
      <c r="Q221" s="7"/>
      <c r="R221" s="61"/>
      <c r="S221" s="61"/>
      <c r="T221" s="61"/>
      <c r="U221" s="77"/>
      <c r="V221" s="77"/>
      <c r="W221" s="77"/>
      <c r="X221" s="77"/>
      <c r="Y221" s="77"/>
    </row>
    <row r="222" spans="1:32" x14ac:dyDescent="0.3">
      <c r="A222" s="45"/>
      <c r="B222" s="7"/>
      <c r="C222" s="58">
        <f t="shared" si="56"/>
        <v>10</v>
      </c>
      <c r="D222" s="56">
        <v>5806.9</v>
      </c>
      <c r="E222" s="59">
        <f t="shared" si="57"/>
        <v>5.2631578947368418E-2</v>
      </c>
      <c r="F222" s="59">
        <f t="shared" si="58"/>
        <v>-1.7794015662793376E-2</v>
      </c>
      <c r="G222" s="50">
        <f t="shared" si="59"/>
        <v>0.33808629759307418</v>
      </c>
      <c r="H222" s="50"/>
      <c r="I222" s="54"/>
      <c r="J222" s="54"/>
      <c r="K222" s="54"/>
      <c r="L222" s="7"/>
      <c r="O222" s="45" t="s">
        <v>291</v>
      </c>
      <c r="P222" s="7"/>
      <c r="Q222" s="7"/>
      <c r="R222" s="61"/>
      <c r="S222" s="125" t="s">
        <v>290</v>
      </c>
      <c r="T222" s="61"/>
      <c r="U222" s="77">
        <f>+U182</f>
        <v>-3440.2059745974088</v>
      </c>
      <c r="V222" s="77">
        <f>+V182</f>
        <v>-3440.2059745974088</v>
      </c>
      <c r="W222" s="77">
        <f>+W182</f>
        <v>-3440.2059745974088</v>
      </c>
      <c r="X222" s="77">
        <f>+X182</f>
        <v>-3440.2059745974088</v>
      </c>
      <c r="Y222" s="77">
        <f>+Y182</f>
        <v>-3440.2059745974088</v>
      </c>
      <c r="Z222" s="8"/>
    </row>
    <row r="223" spans="1:32" x14ac:dyDescent="0.3">
      <c r="A223" s="45"/>
      <c r="B223" s="7"/>
      <c r="C223" s="58">
        <f t="shared" si="56"/>
        <v>10.5</v>
      </c>
      <c r="D223" s="56">
        <v>5708.6</v>
      </c>
      <c r="E223" s="59">
        <f t="shared" si="57"/>
        <v>0.05</v>
      </c>
      <c r="F223" s="59">
        <f t="shared" si="58"/>
        <v>-1.6928137216070411E-2</v>
      </c>
      <c r="G223" s="50">
        <f t="shared" si="59"/>
        <v>0.3385627443214082</v>
      </c>
      <c r="H223" s="50"/>
      <c r="I223" s="54"/>
      <c r="J223" s="54"/>
      <c r="K223" s="54"/>
      <c r="L223" s="7"/>
      <c r="O223" s="45"/>
      <c r="P223" s="7"/>
      <c r="Q223" s="7"/>
      <c r="R223" s="61"/>
      <c r="S223" s="125"/>
      <c r="T223" s="61"/>
      <c r="U223" s="77"/>
      <c r="V223" s="77"/>
      <c r="W223" s="77"/>
      <c r="X223" s="77"/>
      <c r="Y223" s="77"/>
      <c r="Z223" s="8"/>
    </row>
    <row r="224" spans="1:32" x14ac:dyDescent="0.3">
      <c r="A224" s="45"/>
      <c r="B224" s="7"/>
      <c r="C224" s="58">
        <f t="shared" si="56"/>
        <v>11</v>
      </c>
      <c r="D224" s="56">
        <v>5616.4</v>
      </c>
      <c r="E224" s="59">
        <f t="shared" si="57"/>
        <v>4.7619047619047616E-2</v>
      </c>
      <c r="F224" s="59">
        <f t="shared" si="58"/>
        <v>-1.6151070314963514E-2</v>
      </c>
      <c r="G224" s="50">
        <f t="shared" si="59"/>
        <v>0.33917247661423383</v>
      </c>
      <c r="H224" s="65">
        <f>-GEOMEAN(G209:G224)</f>
        <v>-0.33127098006690353</v>
      </c>
      <c r="I224" s="66" t="s">
        <v>164</v>
      </c>
      <c r="J224" s="54"/>
      <c r="K224" s="54"/>
      <c r="L224" s="7"/>
      <c r="O224" s="45" t="s">
        <v>288</v>
      </c>
      <c r="P224" s="7"/>
      <c r="Q224" s="7"/>
      <c r="R224" s="61"/>
      <c r="S224" s="125" t="s">
        <v>287</v>
      </c>
      <c r="T224" s="61"/>
      <c r="U224" s="77">
        <f>-+U159</f>
        <v>0</v>
      </c>
      <c r="V224" s="77">
        <f>-+V159</f>
        <v>0</v>
      </c>
      <c r="W224" s="77">
        <f>-+W159</f>
        <v>0</v>
      </c>
      <c r="X224" s="77">
        <f>-+X159</f>
        <v>-29687</v>
      </c>
      <c r="Y224" s="77">
        <f>-+Y159</f>
        <v>0</v>
      </c>
      <c r="AA224" s="8"/>
      <c r="AB224" s="8"/>
      <c r="AC224" s="8"/>
      <c r="AD224" s="8"/>
      <c r="AE224" s="8"/>
      <c r="AF224" s="8"/>
    </row>
    <row r="225" spans="1:32" s="8" customFormat="1" x14ac:dyDescent="0.3">
      <c r="A225" s="45"/>
      <c r="B225" s="7"/>
      <c r="C225" s="7"/>
      <c r="D225" s="7"/>
      <c r="E225" s="7"/>
      <c r="F225" s="7"/>
      <c r="G225" s="50"/>
      <c r="H225" s="50"/>
      <c r="I225" s="54"/>
      <c r="J225" s="54"/>
      <c r="K225" s="54"/>
      <c r="L225" s="7"/>
      <c r="O225" s="45" t="s">
        <v>97</v>
      </c>
      <c r="P225" s="7"/>
      <c r="Q225" s="7"/>
      <c r="R225" s="61"/>
      <c r="S225" s="125" t="s">
        <v>296</v>
      </c>
      <c r="T225" s="61"/>
      <c r="U225" s="77">
        <f>+U210</f>
        <v>0</v>
      </c>
      <c r="V225" s="77">
        <f t="shared" ref="V225:Y225" si="66">+V210</f>
        <v>-3388.0476026274273</v>
      </c>
      <c r="W225" s="77">
        <f t="shared" si="66"/>
        <v>-3595.2366647195086</v>
      </c>
      <c r="X225" s="77">
        <f t="shared" si="66"/>
        <v>-5129.0804136299048</v>
      </c>
      <c r="Y225" s="77">
        <f t="shared" si="66"/>
        <v>-5574.9210317594989</v>
      </c>
      <c r="Z225" s="6"/>
      <c r="AA225" s="6"/>
      <c r="AB225" s="6"/>
      <c r="AC225" s="6"/>
      <c r="AD225" s="6"/>
      <c r="AE225" s="6"/>
      <c r="AF225" s="6"/>
    </row>
    <row r="226" spans="1:32" x14ac:dyDescent="0.3">
      <c r="A226" s="52" t="s">
        <v>170</v>
      </c>
      <c r="B226" s="44"/>
      <c r="C226" s="53"/>
      <c r="D226" s="44"/>
      <c r="E226" s="44"/>
      <c r="F226" s="54" t="s">
        <v>126</v>
      </c>
      <c r="G226" s="54" t="s">
        <v>68</v>
      </c>
      <c r="H226" s="54" t="s">
        <v>69</v>
      </c>
      <c r="I226" s="54" t="s">
        <v>70</v>
      </c>
      <c r="J226" s="54" t="s">
        <v>76</v>
      </c>
      <c r="K226" s="54" t="s">
        <v>127</v>
      </c>
      <c r="L226" s="44"/>
      <c r="O226" s="45"/>
      <c r="P226" s="7"/>
      <c r="Q226" s="7"/>
      <c r="R226" s="61"/>
      <c r="S226" s="61"/>
      <c r="T226" s="61"/>
      <c r="U226" s="77"/>
      <c r="V226" s="77"/>
      <c r="W226" s="77"/>
      <c r="X226" s="77"/>
      <c r="Y226" s="77"/>
    </row>
    <row r="227" spans="1:32" x14ac:dyDescent="0.3">
      <c r="A227" s="45" t="s">
        <v>171</v>
      </c>
      <c r="B227" s="7"/>
      <c r="C227" s="12"/>
      <c r="D227" s="7"/>
      <c r="E227" s="7"/>
      <c r="F227" s="46"/>
      <c r="G227" s="51">
        <f t="shared" ref="G227:K231" si="67">(1+G$158)*(1+G159)-1</f>
        <v>5.0000000000000044E-2</v>
      </c>
      <c r="H227" s="51">
        <f t="shared" si="67"/>
        <v>6.5549999999999997E-2</v>
      </c>
      <c r="I227" s="51">
        <f t="shared" si="67"/>
        <v>6.5549999999999997E-2</v>
      </c>
      <c r="J227" s="51">
        <f t="shared" si="67"/>
        <v>6.0499999999999998E-2</v>
      </c>
      <c r="K227" s="51">
        <f t="shared" si="67"/>
        <v>6.0499999999999998E-2</v>
      </c>
      <c r="L227" s="7"/>
      <c r="O227" s="66" t="s">
        <v>239</v>
      </c>
      <c r="P227" s="7"/>
      <c r="Q227" s="7"/>
      <c r="R227" s="61"/>
      <c r="S227" s="61"/>
      <c r="T227" s="61"/>
      <c r="U227" s="81">
        <f>SUM(U215:U226)</f>
        <v>10742.437772442596</v>
      </c>
      <c r="V227" s="81">
        <f t="shared" ref="V227:Y227" si="68">SUM(V215:V226)</f>
        <v>16247.023946834539</v>
      </c>
      <c r="W227" s="81">
        <f t="shared" si="68"/>
        <v>24353.63585688399</v>
      </c>
      <c r="X227" s="81">
        <f t="shared" si="68"/>
        <v>2186.2195129826287</v>
      </c>
      <c r="Y227" s="81">
        <f t="shared" si="68"/>
        <v>11810.296910825829</v>
      </c>
    </row>
    <row r="228" spans="1:32" x14ac:dyDescent="0.3">
      <c r="A228" s="45" t="s">
        <v>172</v>
      </c>
      <c r="B228" s="7"/>
      <c r="C228" s="12"/>
      <c r="D228" s="7"/>
      <c r="E228" s="7"/>
      <c r="F228" s="46"/>
      <c r="G228" s="51">
        <f t="shared" si="67"/>
        <v>5.5250000000000021E-2</v>
      </c>
      <c r="H228" s="51">
        <f t="shared" si="67"/>
        <v>6.0274999999999856E-2</v>
      </c>
      <c r="I228" s="51">
        <f t="shared" si="67"/>
        <v>6.0274999999999856E-2</v>
      </c>
      <c r="J228" s="51">
        <f t="shared" si="67"/>
        <v>6.0499999999999998E-2</v>
      </c>
      <c r="K228" s="51">
        <f t="shared" si="67"/>
        <v>6.0499999999999998E-2</v>
      </c>
      <c r="L228" s="7"/>
    </row>
    <row r="229" spans="1:32" x14ac:dyDescent="0.3">
      <c r="A229" s="45" t="s">
        <v>173</v>
      </c>
      <c r="B229" s="7"/>
      <c r="C229" s="12"/>
      <c r="D229" s="7"/>
      <c r="E229" s="7"/>
      <c r="F229" s="46"/>
      <c r="G229" s="51">
        <f t="shared" si="67"/>
        <v>5.5250000000000021E-2</v>
      </c>
      <c r="H229" s="51">
        <f t="shared" si="67"/>
        <v>6.0274999999999856E-2</v>
      </c>
      <c r="I229" s="51">
        <f t="shared" si="67"/>
        <v>6.0274999999999856E-2</v>
      </c>
      <c r="J229" s="51">
        <f t="shared" si="67"/>
        <v>5.5250000000000021E-2</v>
      </c>
      <c r="K229" s="51">
        <f t="shared" si="67"/>
        <v>6.0499999999999998E-2</v>
      </c>
      <c r="L229" s="7"/>
    </row>
    <row r="230" spans="1:32" x14ac:dyDescent="0.3">
      <c r="A230" s="45" t="s">
        <v>174</v>
      </c>
      <c r="B230" s="7"/>
      <c r="C230" s="12"/>
      <c r="D230" s="7"/>
      <c r="E230" s="7"/>
      <c r="F230" s="46"/>
      <c r="G230" s="51">
        <f t="shared" si="67"/>
        <v>6.5749999999999975E-2</v>
      </c>
      <c r="H230" s="51">
        <f t="shared" si="67"/>
        <v>7.0824999999999916E-2</v>
      </c>
      <c r="I230" s="51">
        <f t="shared" si="67"/>
        <v>7.0824999999999916E-2</v>
      </c>
      <c r="J230" s="51">
        <f t="shared" si="67"/>
        <v>6.5749999999999975E-2</v>
      </c>
      <c r="K230" s="51">
        <f t="shared" si="67"/>
        <v>6.5749999999999975E-2</v>
      </c>
      <c r="L230" s="7"/>
    </row>
    <row r="231" spans="1:32" x14ac:dyDescent="0.3">
      <c r="A231" s="45" t="s">
        <v>175</v>
      </c>
      <c r="B231" s="7"/>
      <c r="C231" s="12"/>
      <c r="D231" s="7"/>
      <c r="E231" s="7"/>
      <c r="F231" s="46"/>
      <c r="G231" s="51">
        <f t="shared" si="67"/>
        <v>5.2100000000000035E-2</v>
      </c>
      <c r="H231" s="51">
        <f t="shared" si="67"/>
        <v>5.7109999999999994E-2</v>
      </c>
      <c r="I231" s="51">
        <f t="shared" si="67"/>
        <v>5.7109999999999994E-2</v>
      </c>
      <c r="J231" s="51">
        <f t="shared" si="67"/>
        <v>5.2100000000000035E-2</v>
      </c>
      <c r="K231" s="51">
        <f t="shared" si="67"/>
        <v>5.2100000000000035E-2</v>
      </c>
      <c r="L231" s="7"/>
    </row>
    <row r="232" spans="1:32" x14ac:dyDescent="0.3">
      <c r="A232" s="45"/>
      <c r="B232" s="7"/>
      <c r="C232" s="7"/>
      <c r="D232" s="7"/>
      <c r="E232" s="7"/>
      <c r="F232" s="7"/>
      <c r="G232" s="50"/>
      <c r="H232" s="50"/>
      <c r="I232" s="54"/>
      <c r="J232" s="54"/>
      <c r="K232" s="54"/>
      <c r="L232" s="7"/>
    </row>
    <row r="233" spans="1:32" x14ac:dyDescent="0.3">
      <c r="A233" s="45" t="s">
        <v>176</v>
      </c>
      <c r="B233" s="7"/>
      <c r="C233" s="7"/>
      <c r="D233" s="7"/>
      <c r="E233" s="7"/>
      <c r="F233" s="7"/>
      <c r="G233" s="50"/>
      <c r="H233" s="50"/>
      <c r="I233" s="54"/>
      <c r="J233" s="54"/>
      <c r="K233" s="54"/>
      <c r="L233" s="7"/>
    </row>
    <row r="234" spans="1:32" x14ac:dyDescent="0.3">
      <c r="A234" s="45" t="s">
        <v>177</v>
      </c>
      <c r="B234" s="7"/>
      <c r="C234" s="7"/>
      <c r="D234" s="7"/>
      <c r="E234" s="7"/>
      <c r="F234" s="7"/>
      <c r="G234" s="50"/>
      <c r="H234" s="50"/>
      <c r="I234" s="54"/>
      <c r="J234" s="54"/>
      <c r="K234" s="54"/>
      <c r="L234" s="7"/>
    </row>
    <row r="235" spans="1:32" x14ac:dyDescent="0.3">
      <c r="A235" s="45" t="s">
        <v>178</v>
      </c>
      <c r="B235" s="7"/>
      <c r="C235" s="7"/>
      <c r="D235" s="7"/>
      <c r="E235" s="7"/>
      <c r="F235" s="7"/>
      <c r="G235" s="50"/>
      <c r="H235" s="50"/>
      <c r="I235" s="54"/>
      <c r="J235" s="54"/>
      <c r="K235" s="54"/>
      <c r="L235" s="7"/>
    </row>
    <row r="236" spans="1:32" x14ac:dyDescent="0.3">
      <c r="A236" s="45" t="s">
        <v>179</v>
      </c>
      <c r="B236" s="7"/>
      <c r="C236" s="7"/>
      <c r="D236" s="7"/>
      <c r="E236" s="7"/>
      <c r="F236" s="7"/>
      <c r="G236" s="50"/>
      <c r="H236" s="50"/>
      <c r="I236" s="54"/>
      <c r="J236" s="54"/>
      <c r="K236" s="54"/>
      <c r="L236" s="7"/>
    </row>
    <row r="237" spans="1:32" x14ac:dyDescent="0.3">
      <c r="A237" s="45" t="s">
        <v>181</v>
      </c>
      <c r="B237" s="7"/>
      <c r="C237" s="7"/>
      <c r="D237" s="7"/>
      <c r="E237" s="7"/>
      <c r="F237" s="7"/>
      <c r="G237" s="50"/>
      <c r="H237" s="50"/>
      <c r="I237" s="54"/>
      <c r="J237" s="54"/>
      <c r="K237" s="54"/>
      <c r="L237" s="7"/>
    </row>
    <row r="238" spans="1:32" x14ac:dyDescent="0.3">
      <c r="A238" s="45" t="s">
        <v>180</v>
      </c>
      <c r="B238" s="7"/>
      <c r="C238" s="7"/>
      <c r="D238" s="7"/>
      <c r="E238" s="7"/>
      <c r="F238" s="7"/>
      <c r="G238" s="50"/>
      <c r="H238" s="50"/>
      <c r="I238" s="54"/>
      <c r="J238" s="54"/>
      <c r="K238" s="54"/>
      <c r="L238" s="7"/>
    </row>
    <row r="239" spans="1:32" x14ac:dyDescent="0.3">
      <c r="A239" s="45"/>
      <c r="B239" s="7"/>
      <c r="C239" s="7"/>
      <c r="D239" s="7"/>
      <c r="E239" s="7"/>
      <c r="F239" s="7"/>
      <c r="G239" s="50"/>
      <c r="H239" s="50"/>
      <c r="I239" s="54"/>
      <c r="J239" s="54"/>
      <c r="K239" s="60"/>
      <c r="L239" s="7"/>
    </row>
    <row r="240" spans="1:32" x14ac:dyDescent="0.3">
      <c r="A240" s="126"/>
      <c r="B240" s="15"/>
      <c r="C240" s="15"/>
      <c r="D240" s="127" t="s">
        <v>182</v>
      </c>
      <c r="E240" s="127" t="s">
        <v>183</v>
      </c>
      <c r="F240" s="127" t="s">
        <v>184</v>
      </c>
      <c r="G240" s="127" t="s">
        <v>185</v>
      </c>
      <c r="H240" s="128" t="s">
        <v>186</v>
      </c>
      <c r="I240" s="54"/>
      <c r="J240" s="54"/>
      <c r="K240" s="60"/>
      <c r="L240" s="7"/>
    </row>
    <row r="241" spans="1:32" x14ac:dyDescent="0.3">
      <c r="A241" s="129" t="s">
        <v>158</v>
      </c>
      <c r="B241" s="7"/>
      <c r="C241" s="7"/>
      <c r="D241" s="130">
        <v>100</v>
      </c>
      <c r="E241" s="130">
        <v>100</v>
      </c>
      <c r="F241" s="130">
        <v>100</v>
      </c>
      <c r="G241" s="130">
        <v>100</v>
      </c>
      <c r="H241" s="131">
        <v>100</v>
      </c>
      <c r="I241" s="54"/>
      <c r="J241" s="54"/>
      <c r="K241" s="60"/>
      <c r="L241" s="7"/>
    </row>
    <row r="242" spans="1:32" x14ac:dyDescent="0.3">
      <c r="A242" s="129" t="s">
        <v>43</v>
      </c>
      <c r="B242" s="7"/>
      <c r="C242" s="7"/>
      <c r="D242" s="68">
        <v>0.03</v>
      </c>
      <c r="E242" s="68">
        <v>0.04</v>
      </c>
      <c r="F242" s="68">
        <v>0.05</v>
      </c>
      <c r="G242" s="68">
        <v>0.06</v>
      </c>
      <c r="H242" s="132">
        <v>7.0000000000000007E-2</v>
      </c>
      <c r="I242" s="54"/>
      <c r="J242" s="54"/>
      <c r="K242" s="60"/>
      <c r="L242" s="7"/>
    </row>
    <row r="243" spans="1:32" x14ac:dyDescent="0.3">
      <c r="A243" s="129" t="s">
        <v>187</v>
      </c>
      <c r="B243" s="7"/>
      <c r="C243" s="7"/>
      <c r="D243" s="62">
        <f>D241*(1+D242)</f>
        <v>103</v>
      </c>
      <c r="E243" s="62">
        <f>E241*(1+E242)</f>
        <v>104</v>
      </c>
      <c r="F243" s="62">
        <f t="shared" ref="F243:H243" si="69">F241*(1+F242)</f>
        <v>105</v>
      </c>
      <c r="G243" s="62">
        <f t="shared" si="69"/>
        <v>106</v>
      </c>
      <c r="H243" s="133">
        <f t="shared" si="69"/>
        <v>107</v>
      </c>
      <c r="I243" s="54"/>
      <c r="J243" s="54"/>
      <c r="K243" s="60"/>
      <c r="L243" s="7"/>
    </row>
    <row r="244" spans="1:32" x14ac:dyDescent="0.3">
      <c r="A244" s="129" t="s">
        <v>188</v>
      </c>
      <c r="B244" s="7"/>
      <c r="C244" s="7"/>
      <c r="D244" s="64">
        <v>0.01</v>
      </c>
      <c r="E244" s="64">
        <v>0.02</v>
      </c>
      <c r="F244" s="64">
        <v>0.03</v>
      </c>
      <c r="G244" s="64">
        <v>0.04</v>
      </c>
      <c r="H244" s="134">
        <v>0.05</v>
      </c>
      <c r="I244" s="54"/>
      <c r="J244" s="54"/>
      <c r="K244" s="60"/>
      <c r="L244" s="7"/>
    </row>
    <row r="245" spans="1:32" x14ac:dyDescent="0.3">
      <c r="A245" s="129" t="s">
        <v>189</v>
      </c>
      <c r="B245" s="7"/>
      <c r="C245" s="7"/>
      <c r="D245" s="63">
        <f>D243*(1+D244)</f>
        <v>104.03</v>
      </c>
      <c r="E245" s="63">
        <f>E243*(1+E244)</f>
        <v>106.08</v>
      </c>
      <c r="F245" s="63">
        <f t="shared" ref="F245:H245" si="70">F243*(1+F244)</f>
        <v>108.15</v>
      </c>
      <c r="G245" s="63">
        <f t="shared" si="70"/>
        <v>110.24000000000001</v>
      </c>
      <c r="H245" s="135">
        <f t="shared" si="70"/>
        <v>112.35000000000001</v>
      </c>
      <c r="I245" s="54"/>
      <c r="J245" s="54"/>
      <c r="K245" s="60"/>
      <c r="L245" s="7"/>
      <c r="Z245" s="8"/>
    </row>
    <row r="246" spans="1:32" x14ac:dyDescent="0.3">
      <c r="A246" s="129" t="s">
        <v>190</v>
      </c>
      <c r="B246" s="7"/>
      <c r="C246" s="7"/>
      <c r="D246" s="68">
        <f>(D245-D241)/D241</f>
        <v>4.0300000000000009E-2</v>
      </c>
      <c r="E246" s="68">
        <f>(E245-E241)/E241</f>
        <v>6.0799999999999986E-2</v>
      </c>
      <c r="F246" s="68">
        <f t="shared" ref="F246:H246" si="71">(F245-F241)/F241</f>
        <v>8.1500000000000059E-2</v>
      </c>
      <c r="G246" s="68">
        <f t="shared" si="71"/>
        <v>0.10240000000000009</v>
      </c>
      <c r="H246" s="132">
        <f t="shared" si="71"/>
        <v>0.12350000000000008</v>
      </c>
      <c r="I246" s="54"/>
      <c r="J246" s="54"/>
      <c r="K246" s="60"/>
      <c r="L246" s="7"/>
    </row>
    <row r="247" spans="1:32" x14ac:dyDescent="0.3">
      <c r="A247" s="136" t="s">
        <v>190</v>
      </c>
      <c r="B247" s="16"/>
      <c r="C247" s="16"/>
      <c r="D247" s="69">
        <f>(1+D242)*(1+D244)-1</f>
        <v>4.0300000000000002E-2</v>
      </c>
      <c r="E247" s="69">
        <f>(1+E242)*(1+E244)-1</f>
        <v>6.0799999999999965E-2</v>
      </c>
      <c r="F247" s="69">
        <f t="shared" ref="F247:H247" si="72">(1+F242)*(1+F244)-1</f>
        <v>8.1500000000000128E-2</v>
      </c>
      <c r="G247" s="69">
        <f t="shared" si="72"/>
        <v>0.10240000000000005</v>
      </c>
      <c r="H247" s="137">
        <f t="shared" si="72"/>
        <v>0.12350000000000017</v>
      </c>
      <c r="I247" s="54"/>
      <c r="J247" s="54"/>
      <c r="K247" s="54"/>
      <c r="L247" s="7"/>
      <c r="AA247" s="8"/>
      <c r="AB247" s="8"/>
      <c r="AC247" s="8"/>
      <c r="AD247" s="8"/>
      <c r="AE247" s="8"/>
      <c r="AF247" s="8"/>
    </row>
    <row r="248" spans="1:32" s="8" customFormat="1" x14ac:dyDescent="0.3">
      <c r="A248" s="45"/>
      <c r="B248" s="7"/>
      <c r="C248" s="7"/>
      <c r="D248" s="61"/>
      <c r="E248" s="61"/>
      <c r="F248" s="61"/>
      <c r="G248" s="61"/>
      <c r="H248" s="61"/>
      <c r="I248" s="54"/>
      <c r="J248" s="54"/>
      <c r="K248" s="54"/>
      <c r="L248" s="7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</row>
    <row r="249" spans="1:32" x14ac:dyDescent="0.3">
      <c r="A249" s="52" t="s">
        <v>203</v>
      </c>
      <c r="B249" s="7"/>
      <c r="C249" s="7"/>
      <c r="D249" s="61"/>
      <c r="E249" s="61"/>
      <c r="F249" s="54" t="s">
        <v>126</v>
      </c>
      <c r="G249" s="54" t="s">
        <v>68</v>
      </c>
      <c r="H249" s="54" t="s">
        <v>69</v>
      </c>
      <c r="I249" s="54" t="s">
        <v>70</v>
      </c>
      <c r="J249" s="54" t="s">
        <v>76</v>
      </c>
      <c r="K249" s="54" t="s">
        <v>127</v>
      </c>
      <c r="L249" s="7"/>
    </row>
    <row r="250" spans="1:32" x14ac:dyDescent="0.3">
      <c r="A250" s="45" t="s">
        <v>207</v>
      </c>
      <c r="B250" s="7"/>
      <c r="C250" s="7"/>
      <c r="D250" s="61"/>
      <c r="E250" s="61">
        <v>0.2</v>
      </c>
      <c r="F250" s="77">
        <f>(U191+U190+U192)*E250</f>
        <v>1552.2918</v>
      </c>
      <c r="G250" s="61"/>
      <c r="H250" s="61"/>
      <c r="I250" s="54"/>
      <c r="J250" s="54"/>
      <c r="K250" s="54"/>
      <c r="L250" s="7"/>
    </row>
    <row r="251" spans="1:32" x14ac:dyDescent="0.3">
      <c r="A251" s="45" t="s">
        <v>208</v>
      </c>
      <c r="B251" s="7"/>
      <c r="C251" s="7"/>
      <c r="D251" s="61"/>
      <c r="E251" s="61"/>
      <c r="F251" s="61"/>
      <c r="G251" s="61">
        <v>8.1500000000000003E-2</v>
      </c>
      <c r="H251" s="61">
        <v>8.1500000000000003E-2</v>
      </c>
      <c r="I251" s="61">
        <v>8.1500000000000003E-2</v>
      </c>
      <c r="J251" s="61">
        <v>8.1500000000000003E-2</v>
      </c>
      <c r="K251" s="61">
        <v>8.1500000000000003E-2</v>
      </c>
      <c r="L251" s="7"/>
    </row>
    <row r="252" spans="1:32" x14ac:dyDescent="0.3">
      <c r="A252" s="45" t="s">
        <v>209</v>
      </c>
      <c r="B252" s="7"/>
      <c r="C252" s="7"/>
      <c r="D252" s="61"/>
      <c r="E252" s="61"/>
      <c r="F252" s="61"/>
      <c r="G252" s="61">
        <v>0.13</v>
      </c>
      <c r="H252" s="61">
        <v>0.13</v>
      </c>
      <c r="I252" s="61">
        <v>0.13</v>
      </c>
      <c r="J252" s="61">
        <v>0.13</v>
      </c>
      <c r="K252" s="61">
        <v>0.13</v>
      </c>
      <c r="L252" s="7"/>
    </row>
    <row r="253" spans="1:32" x14ac:dyDescent="0.3">
      <c r="A253" s="45" t="s">
        <v>210</v>
      </c>
      <c r="B253" s="7"/>
      <c r="C253" s="7"/>
      <c r="D253" s="61"/>
      <c r="E253" s="61"/>
      <c r="F253" s="61"/>
      <c r="G253" s="61"/>
      <c r="H253" s="61"/>
      <c r="I253" s="54"/>
      <c r="J253" s="77">
        <v>29687</v>
      </c>
      <c r="K253" s="54"/>
      <c r="L253" s="7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</row>
    <row r="254" spans="1:32" x14ac:dyDescent="0.3">
      <c r="A254" s="45"/>
      <c r="B254" s="7"/>
      <c r="C254" s="7"/>
      <c r="D254" s="61"/>
      <c r="E254" s="61"/>
      <c r="F254" s="61"/>
      <c r="G254" s="61"/>
      <c r="H254" s="61"/>
      <c r="I254" s="54"/>
      <c r="J254" s="77"/>
      <c r="K254" s="54"/>
      <c r="L254" s="7"/>
    </row>
    <row r="276" spans="1:12" x14ac:dyDescent="0.3">
      <c r="A276" s="138" t="s">
        <v>191</v>
      </c>
      <c r="B276" s="139"/>
      <c r="C276" s="140"/>
      <c r="D276" s="139"/>
      <c r="E276" s="139"/>
      <c r="F276" s="141"/>
      <c r="G276" s="141"/>
      <c r="H276" s="141"/>
      <c r="I276" s="142"/>
      <c r="J276" s="142"/>
      <c r="K276" s="142"/>
      <c r="L276" s="139"/>
    </row>
    <row r="277" spans="1:12" x14ac:dyDescent="0.3">
      <c r="A277" s="138" t="s">
        <v>192</v>
      </c>
      <c r="B277" s="143"/>
      <c r="C277" s="143"/>
      <c r="D277" s="141"/>
      <c r="E277" s="141"/>
      <c r="F277" s="142" t="s">
        <v>126</v>
      </c>
      <c r="G277" s="142" t="s">
        <v>68</v>
      </c>
      <c r="H277" s="142" t="s">
        <v>69</v>
      </c>
      <c r="I277" s="142" t="s">
        <v>70</v>
      </c>
      <c r="J277" s="142" t="s">
        <v>76</v>
      </c>
      <c r="K277" s="142" t="s">
        <v>127</v>
      </c>
      <c r="L277" s="143"/>
    </row>
    <row r="278" spans="1:12" x14ac:dyDescent="0.3">
      <c r="A278" s="144"/>
      <c r="B278" s="145"/>
      <c r="C278" s="145"/>
      <c r="D278" s="146"/>
      <c r="E278" s="146"/>
      <c r="F278" s="146"/>
      <c r="G278" s="146"/>
      <c r="H278" s="146"/>
      <c r="I278" s="147"/>
      <c r="J278" s="147"/>
      <c r="K278" s="147"/>
      <c r="L278" s="143"/>
    </row>
    <row r="279" spans="1:12" x14ac:dyDescent="0.3">
      <c r="A279" s="148" t="s">
        <v>193</v>
      </c>
      <c r="B279" s="143"/>
      <c r="C279" s="143"/>
      <c r="D279" s="149"/>
      <c r="E279" s="149"/>
      <c r="F279" s="149"/>
      <c r="G279" s="149"/>
      <c r="H279" s="149"/>
      <c r="I279" s="142"/>
      <c r="J279" s="142"/>
      <c r="K279" s="142"/>
      <c r="L279" s="143"/>
    </row>
    <row r="280" spans="1:12" x14ac:dyDescent="0.3">
      <c r="A280" s="144" t="s">
        <v>194</v>
      </c>
      <c r="B280" s="145"/>
      <c r="C280" s="145"/>
      <c r="D280" s="146"/>
      <c r="E280" s="146"/>
      <c r="F280" s="146"/>
      <c r="G280" s="146">
        <f>(1+G227)/(1+G158)-1</f>
        <v>0</v>
      </c>
      <c r="H280" s="146">
        <f>(1+H227)/(1+H158)-1</f>
        <v>1.0000000000000009E-2</v>
      </c>
      <c r="I280" s="146">
        <f>(1+I227)/(1+I158)-1</f>
        <v>1.0000000000000009E-2</v>
      </c>
      <c r="J280" s="146">
        <f>(1+J227)/(1+J158)-1</f>
        <v>1.0000000000000009E-2</v>
      </c>
      <c r="K280" s="146">
        <f>(1+K227)/(1+K158)-1</f>
        <v>1.0000000000000009E-2</v>
      </c>
      <c r="L280" s="143" t="s">
        <v>195</v>
      </c>
    </row>
    <row r="281" spans="1:12" x14ac:dyDescent="0.3">
      <c r="A281" s="150" t="s">
        <v>196</v>
      </c>
      <c r="B281" s="151"/>
      <c r="C281" s="151"/>
      <c r="D281" s="152"/>
      <c r="E281" s="152"/>
      <c r="F281" s="152"/>
      <c r="G281" s="152">
        <f>+G280*$H$224</f>
        <v>0</v>
      </c>
      <c r="H281" s="152">
        <f>+H280*$H$224</f>
        <v>-3.3127098006690381E-3</v>
      </c>
      <c r="I281" s="152">
        <f>+I280*$H$224</f>
        <v>-3.3127098006690381E-3</v>
      </c>
      <c r="J281" s="152">
        <f>+J280*$H$224</f>
        <v>-3.3127098006690381E-3</v>
      </c>
      <c r="K281" s="152">
        <f>+K280*$H$224</f>
        <v>-3.3127098006690381E-3</v>
      </c>
      <c r="L281" s="143"/>
    </row>
    <row r="282" spans="1:12" x14ac:dyDescent="0.3">
      <c r="A282" s="150" t="s">
        <v>197</v>
      </c>
      <c r="B282" s="151"/>
      <c r="C282" s="151"/>
      <c r="D282" s="152"/>
      <c r="E282" s="152"/>
      <c r="F282" s="152"/>
      <c r="G282" s="153">
        <f>1+G281</f>
        <v>1</v>
      </c>
      <c r="H282" s="153">
        <f t="shared" ref="H282:K282" si="73">1+H281</f>
        <v>0.996687290199331</v>
      </c>
      <c r="I282" s="153">
        <f t="shared" si="73"/>
        <v>0.996687290199331</v>
      </c>
      <c r="J282" s="153">
        <f t="shared" si="73"/>
        <v>0.996687290199331</v>
      </c>
      <c r="K282" s="153">
        <f t="shared" si="73"/>
        <v>0.996687290199331</v>
      </c>
      <c r="L282" s="143"/>
    </row>
    <row r="283" spans="1:12" x14ac:dyDescent="0.3">
      <c r="A283" s="150" t="s">
        <v>198</v>
      </c>
      <c r="B283" s="151"/>
      <c r="C283" s="151"/>
      <c r="D283" s="152"/>
      <c r="E283" s="152"/>
      <c r="F283" s="152"/>
      <c r="G283" s="153">
        <f>1+G164</f>
        <v>1</v>
      </c>
      <c r="H283" s="153">
        <f>1+H164</f>
        <v>1.01</v>
      </c>
      <c r="I283" s="153">
        <f>1+I164</f>
        <v>1.02</v>
      </c>
      <c r="J283" s="153">
        <f>1+J164</f>
        <v>1.02</v>
      </c>
      <c r="K283" s="153">
        <f>1+K164</f>
        <v>1.02</v>
      </c>
      <c r="L283" s="143"/>
    </row>
    <row r="284" spans="1:12" x14ac:dyDescent="0.3">
      <c r="A284" s="143" t="s">
        <v>199</v>
      </c>
      <c r="B284" s="143"/>
      <c r="C284" s="143"/>
      <c r="D284" s="142"/>
      <c r="E284" s="142"/>
      <c r="F284" s="143"/>
      <c r="G284" s="154"/>
      <c r="H284" s="154"/>
      <c r="I284" s="142"/>
      <c r="J284" s="142"/>
      <c r="K284" s="142"/>
      <c r="L284" s="142"/>
    </row>
    <row r="285" spans="1:12" x14ac:dyDescent="0.3">
      <c r="A285" s="143" t="s">
        <v>200</v>
      </c>
      <c r="B285" s="143"/>
      <c r="C285" s="143"/>
      <c r="D285" s="142"/>
      <c r="E285" s="142"/>
      <c r="F285" s="143"/>
      <c r="G285" s="154"/>
      <c r="H285" s="154"/>
      <c r="I285" s="142"/>
      <c r="J285" s="142"/>
      <c r="K285" s="142"/>
      <c r="L285" s="142"/>
    </row>
    <row r="286" spans="1:12" x14ac:dyDescent="0.3">
      <c r="A286" s="145" t="s">
        <v>201</v>
      </c>
      <c r="B286" s="145"/>
      <c r="C286" s="145"/>
      <c r="D286" s="147"/>
      <c r="E286" s="147"/>
      <c r="F286" s="145"/>
      <c r="G286" s="155">
        <f>G283*(1+G281)</f>
        <v>1</v>
      </c>
      <c r="H286" s="155">
        <f t="shared" ref="H286:K286" si="74">H283*(1+H281)</f>
        <v>1.0066541631013244</v>
      </c>
      <c r="I286" s="155">
        <f t="shared" si="74"/>
        <v>1.0166210360033177</v>
      </c>
      <c r="J286" s="155">
        <f t="shared" si="74"/>
        <v>1.0166210360033177</v>
      </c>
      <c r="K286" s="155">
        <f t="shared" si="74"/>
        <v>1.0166210360033177</v>
      </c>
      <c r="L286" s="142"/>
    </row>
  </sheetData>
  <phoneticPr fontId="1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DFCBF-527E-411F-8EEB-7357D82047F4}">
  <dimension ref="A1:H92"/>
  <sheetViews>
    <sheetView tabSelected="1" workbookViewId="0">
      <selection activeCell="E12" sqref="E12"/>
    </sheetView>
  </sheetViews>
  <sheetFormatPr baseColWidth="10" defaultRowHeight="15" x14ac:dyDescent="0.25"/>
  <cols>
    <col min="1" max="1" width="7.140625" customWidth="1"/>
    <col min="3" max="3" width="12.140625" customWidth="1"/>
  </cols>
  <sheetData>
    <row r="1" spans="1:8" x14ac:dyDescent="0.25">
      <c r="A1" s="162" t="s">
        <v>312</v>
      </c>
      <c r="B1" s="163"/>
      <c r="C1" s="163"/>
      <c r="D1" s="163"/>
      <c r="E1" s="163"/>
      <c r="F1" s="163"/>
      <c r="G1" s="163"/>
      <c r="H1" s="163"/>
    </row>
    <row r="2" spans="1:8" x14ac:dyDescent="0.25">
      <c r="A2" s="163" t="s">
        <v>313</v>
      </c>
      <c r="B2" s="163"/>
      <c r="C2" s="163"/>
      <c r="D2" s="163"/>
      <c r="E2" s="163"/>
      <c r="F2" s="163"/>
      <c r="G2" s="163"/>
      <c r="H2" s="163"/>
    </row>
    <row r="3" spans="1:8" x14ac:dyDescent="0.25">
      <c r="A3" s="163"/>
      <c r="B3" s="163"/>
      <c r="C3" s="163"/>
      <c r="D3" s="163"/>
      <c r="E3" s="163"/>
      <c r="F3" s="163"/>
      <c r="G3" s="163"/>
      <c r="H3" s="163"/>
    </row>
    <row r="4" spans="1:8" x14ac:dyDescent="0.25">
      <c r="A4" s="164" t="s">
        <v>37</v>
      </c>
      <c r="B4" s="161" t="s">
        <v>314</v>
      </c>
      <c r="C4" s="161"/>
      <c r="D4" s="161"/>
      <c r="E4" s="161"/>
      <c r="F4" s="161"/>
      <c r="G4" s="161"/>
      <c r="H4" s="161"/>
    </row>
    <row r="5" spans="1:8" x14ac:dyDescent="0.25">
      <c r="A5" s="163"/>
      <c r="B5" s="161" t="s">
        <v>315</v>
      </c>
      <c r="C5" s="161"/>
      <c r="D5" s="161"/>
      <c r="E5" s="161"/>
      <c r="F5" s="161"/>
      <c r="G5" s="161"/>
      <c r="H5" s="161"/>
    </row>
    <row r="6" spans="1:8" x14ac:dyDescent="0.25">
      <c r="A6" s="163"/>
      <c r="B6" s="161" t="s">
        <v>316</v>
      </c>
      <c r="C6" s="161"/>
      <c r="D6" s="161"/>
      <c r="E6" s="161"/>
      <c r="F6" s="161"/>
      <c r="G6" s="161"/>
      <c r="H6" s="161"/>
    </row>
    <row r="7" spans="1:8" x14ac:dyDescent="0.25">
      <c r="A7" s="163"/>
      <c r="B7" s="161"/>
      <c r="C7" s="161"/>
      <c r="D7" s="161"/>
      <c r="E7" s="161"/>
      <c r="F7" s="161"/>
      <c r="G7" s="161"/>
      <c r="H7" s="161"/>
    </row>
    <row r="8" spans="1:8" x14ac:dyDescent="0.25">
      <c r="A8" s="164" t="s">
        <v>37</v>
      </c>
      <c r="B8" s="161" t="s">
        <v>317</v>
      </c>
      <c r="C8" s="161"/>
      <c r="D8" s="161"/>
      <c r="E8" s="161"/>
      <c r="F8" s="161"/>
      <c r="G8" s="161"/>
      <c r="H8" s="161"/>
    </row>
    <row r="9" spans="1:8" x14ac:dyDescent="0.25">
      <c r="A9" s="163"/>
      <c r="B9" s="161" t="s">
        <v>318</v>
      </c>
      <c r="C9" s="161"/>
      <c r="D9" s="161"/>
      <c r="E9" s="161"/>
      <c r="F9" s="161"/>
      <c r="G9" s="161"/>
      <c r="H9" s="161"/>
    </row>
    <row r="10" spans="1:8" x14ac:dyDescent="0.25">
      <c r="A10" s="163"/>
      <c r="B10" s="161"/>
      <c r="C10" s="161"/>
      <c r="D10" s="161"/>
      <c r="E10" s="161"/>
      <c r="F10" s="161"/>
      <c r="G10" s="161"/>
      <c r="H10" s="161"/>
    </row>
    <row r="11" spans="1:8" x14ac:dyDescent="0.25">
      <c r="A11" s="164" t="s">
        <v>37</v>
      </c>
      <c r="B11" s="161" t="s">
        <v>319</v>
      </c>
      <c r="C11" s="161"/>
      <c r="D11" s="161"/>
      <c r="E11" s="161"/>
      <c r="F11" s="161"/>
      <c r="G11" s="161"/>
      <c r="H11" s="161"/>
    </row>
    <row r="12" spans="1:8" x14ac:dyDescent="0.25">
      <c r="A12" s="163"/>
      <c r="B12" s="161" t="s">
        <v>321</v>
      </c>
      <c r="C12" s="161"/>
      <c r="D12" s="161"/>
      <c r="E12" s="161"/>
      <c r="F12" s="161"/>
      <c r="G12" s="161"/>
      <c r="H12" s="161"/>
    </row>
    <row r="13" spans="1:8" x14ac:dyDescent="0.25">
      <c r="A13" s="163"/>
      <c r="B13" s="161" t="s">
        <v>322</v>
      </c>
      <c r="C13" s="161"/>
      <c r="D13" s="161"/>
      <c r="E13" s="161"/>
      <c r="F13" s="161"/>
      <c r="G13" s="161"/>
      <c r="H13" s="161"/>
    </row>
    <row r="14" spans="1:8" x14ac:dyDescent="0.25">
      <c r="A14" s="163"/>
      <c r="B14" s="161"/>
      <c r="C14" s="161"/>
      <c r="D14" s="161"/>
      <c r="E14" s="161"/>
      <c r="F14" s="161"/>
      <c r="G14" s="161"/>
      <c r="H14" s="161"/>
    </row>
    <row r="15" spans="1:8" x14ac:dyDescent="0.25">
      <c r="A15" s="164" t="s">
        <v>37</v>
      </c>
      <c r="B15" s="161" t="s">
        <v>323</v>
      </c>
      <c r="C15" s="161"/>
      <c r="D15" s="161"/>
      <c r="E15" s="161"/>
      <c r="F15" s="161"/>
      <c r="G15" s="161"/>
      <c r="H15" s="161"/>
    </row>
    <row r="16" spans="1:8" x14ac:dyDescent="0.25">
      <c r="A16" s="163"/>
      <c r="B16" s="161" t="s">
        <v>320</v>
      </c>
      <c r="C16" s="161"/>
      <c r="D16" s="161"/>
      <c r="E16" s="161"/>
      <c r="F16" s="161"/>
      <c r="G16" s="161"/>
      <c r="H16" s="161"/>
    </row>
    <row r="18" spans="1:8" x14ac:dyDescent="0.25">
      <c r="A18" s="162" t="s">
        <v>324</v>
      </c>
      <c r="B18" s="163"/>
      <c r="C18" s="163"/>
      <c r="D18" s="163"/>
      <c r="E18" s="163"/>
      <c r="F18" s="163"/>
      <c r="G18" s="163"/>
      <c r="H18" s="163"/>
    </row>
    <row r="19" spans="1:8" x14ac:dyDescent="0.25">
      <c r="A19" s="166" t="s">
        <v>325</v>
      </c>
      <c r="B19" s="165"/>
      <c r="C19" s="165"/>
      <c r="D19" s="165"/>
      <c r="E19" s="165"/>
      <c r="F19" s="165"/>
      <c r="G19" s="165"/>
      <c r="H19" s="165"/>
    </row>
    <row r="37" spans="1:8" x14ac:dyDescent="0.25">
      <c r="A37" s="166" t="s">
        <v>326</v>
      </c>
      <c r="B37" s="165"/>
      <c r="C37" s="165"/>
      <c r="D37" s="165"/>
      <c r="E37" s="165"/>
      <c r="F37" s="165"/>
      <c r="G37" s="165"/>
      <c r="H37" s="165"/>
    </row>
    <row r="38" spans="1:8" x14ac:dyDescent="0.25">
      <c r="A38" t="s">
        <v>327</v>
      </c>
    </row>
    <row r="39" spans="1:8" x14ac:dyDescent="0.25">
      <c r="A39" t="s">
        <v>328</v>
      </c>
    </row>
    <row r="60" spans="1:8" x14ac:dyDescent="0.25">
      <c r="A60" s="166" t="s">
        <v>329</v>
      </c>
      <c r="B60" s="165"/>
      <c r="C60" s="165"/>
      <c r="D60" s="165"/>
      <c r="E60" s="165"/>
      <c r="F60" s="165"/>
      <c r="G60" s="165"/>
      <c r="H60" s="165"/>
    </row>
    <row r="61" spans="1:8" x14ac:dyDescent="0.25">
      <c r="A61" t="s">
        <v>330</v>
      </c>
    </row>
    <row r="62" spans="1:8" x14ac:dyDescent="0.25">
      <c r="A62" t="s">
        <v>331</v>
      </c>
    </row>
    <row r="63" spans="1:8" x14ac:dyDescent="0.25">
      <c r="A63" t="s">
        <v>332</v>
      </c>
    </row>
    <row r="66" spans="1:8" x14ac:dyDescent="0.25">
      <c r="A66" s="166" t="s">
        <v>333</v>
      </c>
      <c r="B66" s="165"/>
      <c r="C66" s="165"/>
      <c r="D66" s="165"/>
      <c r="E66" s="165"/>
      <c r="F66" s="165"/>
      <c r="G66" s="165"/>
      <c r="H66" s="165"/>
    </row>
    <row r="67" spans="1:8" x14ac:dyDescent="0.25">
      <c r="A67" t="s">
        <v>334</v>
      </c>
    </row>
    <row r="68" spans="1:8" x14ac:dyDescent="0.25">
      <c r="A68" t="s">
        <v>335</v>
      </c>
    </row>
    <row r="70" spans="1:8" x14ac:dyDescent="0.25">
      <c r="A70" s="166" t="s">
        <v>336</v>
      </c>
      <c r="B70" s="165"/>
      <c r="C70" s="165"/>
      <c r="D70" s="165"/>
      <c r="E70" s="165"/>
      <c r="F70" s="165"/>
      <c r="G70" s="165"/>
      <c r="H70" s="165"/>
    </row>
    <row r="71" spans="1:8" x14ac:dyDescent="0.25">
      <c r="A71" t="s">
        <v>337</v>
      </c>
    </row>
    <row r="72" spans="1:8" x14ac:dyDescent="0.25">
      <c r="A72" t="s">
        <v>338</v>
      </c>
    </row>
    <row r="92" spans="1:8" x14ac:dyDescent="0.25">
      <c r="A92" s="166" t="s">
        <v>339</v>
      </c>
      <c r="B92" s="165"/>
      <c r="C92" s="165"/>
      <c r="D92" s="165"/>
      <c r="E92" s="165"/>
      <c r="F92" s="165"/>
      <c r="G92" s="165"/>
      <c r="H92" s="16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-1-</vt:lpstr>
      <vt:lpstr>-2-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dcterms:created xsi:type="dcterms:W3CDTF">2024-05-24T03:49:16Z</dcterms:created>
  <dcterms:modified xsi:type="dcterms:W3CDTF">2024-05-24T14:38:28Z</dcterms:modified>
</cp:coreProperties>
</file>