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i unidad\FREDDY\01.-DIPLOMADO_NIIF\Material Educativo\01 DIPLOMADO NIIF\Material 2023\Sesion IFRIC 12\"/>
    </mc:Choice>
  </mc:AlternateContent>
  <xr:revisionPtr revIDLastSave="0" documentId="13_ncr:1_{E4EC261F-90F2-49DA-9804-DD3A49DA4775}" xr6:coauthVersionLast="47" xr6:coauthVersionMax="47" xr10:uidLastSave="{00000000-0000-0000-0000-000000000000}"/>
  <bookViews>
    <workbookView xWindow="-120" yWindow="-120" windowWidth="29040" windowHeight="15720" firstSheet="10" activeTab="15" xr2:uid="{00000000-000D-0000-FFFF-FFFF00000000}"/>
  </bookViews>
  <sheets>
    <sheet name="i" sheetId="11" state="hidden" r:id="rId1"/>
    <sheet name="0" sheetId="10" state="hidden" r:id="rId2"/>
    <sheet name="1" sheetId="1" state="hidden" r:id="rId3"/>
    <sheet name="2" sheetId="2" state="hidden" r:id="rId4"/>
    <sheet name="3" sheetId="3" state="hidden" r:id="rId5"/>
    <sheet name="4" sheetId="12" state="hidden" r:id="rId6"/>
    <sheet name="ID1" sheetId="6" state="hidden" r:id="rId7"/>
    <sheet name="ID2" sheetId="7" state="hidden" r:id="rId8"/>
    <sheet name="ID3" sheetId="8" state="hidden" r:id="rId9"/>
    <sheet name="12" sheetId="14" state="hidden" r:id="rId10"/>
    <sheet name="00" sheetId="18" r:id="rId11"/>
    <sheet name="11" sheetId="15" r:id="rId12"/>
    <sheet name="22" sheetId="16" r:id="rId13"/>
    <sheet name="33" sheetId="17" r:id="rId14"/>
    <sheet name="44 " sheetId="19" r:id="rId15"/>
    <sheet name="Hoja4" sheetId="21" r:id="rId16"/>
    <sheet name="ID1 (4)" sheetId="9" state="hidden" r:id="rId17"/>
    <sheet name="44" sheetId="4" state="hidden" r:id="rId18"/>
    <sheet name="5" sheetId="5" state="hidden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H19" i="21"/>
  <c r="H24" i="21" s="1"/>
  <c r="G19" i="21"/>
  <c r="I19" i="21"/>
  <c r="J19" i="21" s="1"/>
  <c r="H30" i="21"/>
  <c r="G30" i="21"/>
  <c r="I30" i="21" s="1"/>
  <c r="J30" i="21" s="1"/>
  <c r="E27" i="21"/>
  <c r="I26" i="21"/>
  <c r="J27" i="21" s="1"/>
  <c r="E22" i="21"/>
  <c r="I21" i="21"/>
  <c r="J22" i="21" s="1"/>
  <c r="I16" i="21"/>
  <c r="J17" i="21" s="1"/>
  <c r="E17" i="21"/>
  <c r="J14" i="21"/>
  <c r="E14" i="21"/>
  <c r="D291" i="17"/>
  <c r="C290" i="17"/>
  <c r="C287" i="17"/>
  <c r="D288" i="17" s="1"/>
  <c r="H282" i="17"/>
  <c r="G282" i="17"/>
  <c r="F283" i="17"/>
  <c r="F284" i="17" s="1"/>
  <c r="F285" i="17" s="1"/>
  <c r="F286" i="17" s="1"/>
  <c r="F287" i="17" s="1"/>
  <c r="F288" i="17" s="1"/>
  <c r="F289" i="17" s="1"/>
  <c r="F290" i="17" s="1"/>
  <c r="F291" i="17" s="1"/>
  <c r="F292" i="17" s="1"/>
  <c r="F293" i="17" s="1"/>
  <c r="F294" i="17" s="1"/>
  <c r="F295" i="17" s="1"/>
  <c r="F296" i="17" s="1"/>
  <c r="F297" i="17" s="1"/>
  <c r="F298" i="17" s="1"/>
  <c r="F299" i="17" s="1"/>
  <c r="F300" i="17" s="1"/>
  <c r="F301" i="17" s="1"/>
  <c r="F302" i="17" s="1"/>
  <c r="F303" i="17" s="1"/>
  <c r="F304" i="17" s="1"/>
  <c r="F305" i="17" s="1"/>
  <c r="F306" i="17" s="1"/>
  <c r="F307" i="17" s="1"/>
  <c r="F308" i="17" s="1"/>
  <c r="F309" i="17" s="1"/>
  <c r="F310" i="17" s="1"/>
  <c r="F311" i="17" s="1"/>
  <c r="F312" i="17" s="1"/>
  <c r="F313" i="17" s="1"/>
  <c r="F314" i="17" s="1"/>
  <c r="F315" i="17" s="1"/>
  <c r="F316" i="17" s="1"/>
  <c r="F317" i="17" s="1"/>
  <c r="F318" i="17" s="1"/>
  <c r="F319" i="17" s="1"/>
  <c r="F320" i="17" s="1"/>
  <c r="F321" i="17" s="1"/>
  <c r="F322" i="17" s="1"/>
  <c r="F323" i="17" s="1"/>
  <c r="F324" i="17" s="1"/>
  <c r="F325" i="17" s="1"/>
  <c r="F326" i="17" s="1"/>
  <c r="F327" i="17" s="1"/>
  <c r="F328" i="17" s="1"/>
  <c r="F329" i="17" s="1"/>
  <c r="F330" i="17" s="1"/>
  <c r="F331" i="17" s="1"/>
  <c r="F332" i="17" s="1"/>
  <c r="F333" i="17" s="1"/>
  <c r="F334" i="17" s="1"/>
  <c r="F335" i="17" s="1"/>
  <c r="F336" i="17" s="1"/>
  <c r="F337" i="17" s="1"/>
  <c r="F338" i="17" s="1"/>
  <c r="F339" i="17" s="1"/>
  <c r="F340" i="17" s="1"/>
  <c r="F341" i="17" s="1"/>
  <c r="F342" i="17" s="1"/>
  <c r="F343" i="17" s="1"/>
  <c r="F344" i="17" s="1"/>
  <c r="F345" i="17" s="1"/>
  <c r="F346" i="17" s="1"/>
  <c r="F347" i="17" s="1"/>
  <c r="F348" i="17" s="1"/>
  <c r="F349" i="17" s="1"/>
  <c r="F350" i="17" s="1"/>
  <c r="F351" i="17" s="1"/>
  <c r="F352" i="17" s="1"/>
  <c r="F353" i="17" s="1"/>
  <c r="F354" i="17" s="1"/>
  <c r="F355" i="17" s="1"/>
  <c r="F356" i="17" s="1"/>
  <c r="F357" i="17" s="1"/>
  <c r="F358" i="17" s="1"/>
  <c r="F359" i="17" s="1"/>
  <c r="F360" i="17" s="1"/>
  <c r="F361" i="17" s="1"/>
  <c r="F362" i="17" s="1"/>
  <c r="F363" i="17" s="1"/>
  <c r="F364" i="17" s="1"/>
  <c r="F365" i="17" s="1"/>
  <c r="F366" i="17" s="1"/>
  <c r="F367" i="17" s="1"/>
  <c r="F368" i="17" s="1"/>
  <c r="F369" i="17" s="1"/>
  <c r="F370" i="17" s="1"/>
  <c r="F371" i="17" s="1"/>
  <c r="F372" i="17" s="1"/>
  <c r="F373" i="17" s="1"/>
  <c r="F374" i="17" s="1"/>
  <c r="F375" i="17" s="1"/>
  <c r="F376" i="17" s="1"/>
  <c r="F377" i="17" s="1"/>
  <c r="F378" i="17" s="1"/>
  <c r="F379" i="17" s="1"/>
  <c r="F380" i="17" s="1"/>
  <c r="F381" i="17" s="1"/>
  <c r="F382" i="17" s="1"/>
  <c r="F383" i="17" s="1"/>
  <c r="F384" i="17" s="1"/>
  <c r="F385" i="17" s="1"/>
  <c r="F386" i="17" s="1"/>
  <c r="F387" i="17" s="1"/>
  <c r="F388" i="17" s="1"/>
  <c r="F389" i="17" s="1"/>
  <c r="F390" i="17" s="1"/>
  <c r="F391" i="17" s="1"/>
  <c r="F392" i="17" s="1"/>
  <c r="F393" i="17" s="1"/>
  <c r="F394" i="17" s="1"/>
  <c r="F395" i="17" s="1"/>
  <c r="F396" i="17" s="1"/>
  <c r="F397" i="17" s="1"/>
  <c r="F398" i="17" s="1"/>
  <c r="F399" i="17" s="1"/>
  <c r="F400" i="17" s="1"/>
  <c r="F401" i="17" s="1"/>
  <c r="C285" i="17"/>
  <c r="I282" i="17" s="1"/>
  <c r="I283" i="17" s="1"/>
  <c r="I284" i="17" s="1"/>
  <c r="I285" i="17" s="1"/>
  <c r="I286" i="17" s="1"/>
  <c r="I287" i="17" s="1"/>
  <c r="I288" i="17" s="1"/>
  <c r="I289" i="17" s="1"/>
  <c r="I290" i="17" s="1"/>
  <c r="I291" i="17" s="1"/>
  <c r="I292" i="17" s="1"/>
  <c r="I293" i="17" s="1"/>
  <c r="I294" i="17" s="1"/>
  <c r="I295" i="17" s="1"/>
  <c r="I296" i="17" s="1"/>
  <c r="I297" i="17" s="1"/>
  <c r="I298" i="17" s="1"/>
  <c r="I299" i="17" s="1"/>
  <c r="I300" i="17" s="1"/>
  <c r="I301" i="17" s="1"/>
  <c r="I302" i="17" s="1"/>
  <c r="I303" i="17" s="1"/>
  <c r="I304" i="17" s="1"/>
  <c r="I305" i="17" s="1"/>
  <c r="I306" i="17" s="1"/>
  <c r="I307" i="17" s="1"/>
  <c r="I308" i="17" s="1"/>
  <c r="I309" i="17" s="1"/>
  <c r="I310" i="17" s="1"/>
  <c r="I311" i="17" s="1"/>
  <c r="I312" i="17" s="1"/>
  <c r="I313" i="17" s="1"/>
  <c r="I314" i="17" s="1"/>
  <c r="I315" i="17" s="1"/>
  <c r="I316" i="17" s="1"/>
  <c r="I317" i="17" s="1"/>
  <c r="I318" i="17" s="1"/>
  <c r="I319" i="17" s="1"/>
  <c r="I320" i="17" s="1"/>
  <c r="I321" i="17" s="1"/>
  <c r="I322" i="17" s="1"/>
  <c r="I323" i="17" s="1"/>
  <c r="I324" i="17" s="1"/>
  <c r="I325" i="17" s="1"/>
  <c r="I326" i="17" s="1"/>
  <c r="I327" i="17" s="1"/>
  <c r="I328" i="17" s="1"/>
  <c r="I329" i="17" s="1"/>
  <c r="I330" i="17" s="1"/>
  <c r="I331" i="17" s="1"/>
  <c r="I332" i="17" s="1"/>
  <c r="I333" i="17" s="1"/>
  <c r="I334" i="17" s="1"/>
  <c r="I335" i="17" s="1"/>
  <c r="I336" i="17" s="1"/>
  <c r="I337" i="17" s="1"/>
  <c r="I338" i="17" s="1"/>
  <c r="I339" i="17" s="1"/>
  <c r="I340" i="17" s="1"/>
  <c r="I341" i="17" s="1"/>
  <c r="I342" i="17" s="1"/>
  <c r="I343" i="17" s="1"/>
  <c r="I344" i="17" s="1"/>
  <c r="I345" i="17" s="1"/>
  <c r="I346" i="17" s="1"/>
  <c r="I347" i="17" s="1"/>
  <c r="I348" i="17" s="1"/>
  <c r="I349" i="17" s="1"/>
  <c r="I350" i="17" s="1"/>
  <c r="I351" i="17" s="1"/>
  <c r="I352" i="17" s="1"/>
  <c r="I353" i="17" s="1"/>
  <c r="I354" i="17" s="1"/>
  <c r="I355" i="17" s="1"/>
  <c r="I356" i="17" s="1"/>
  <c r="I357" i="17" s="1"/>
  <c r="I358" i="17" s="1"/>
  <c r="I359" i="17" s="1"/>
  <c r="I360" i="17" s="1"/>
  <c r="I361" i="17" s="1"/>
  <c r="I362" i="17" s="1"/>
  <c r="I363" i="17" s="1"/>
  <c r="I364" i="17" s="1"/>
  <c r="I365" i="17" s="1"/>
  <c r="I366" i="17" s="1"/>
  <c r="I367" i="17" s="1"/>
  <c r="I368" i="17" s="1"/>
  <c r="I369" i="17" s="1"/>
  <c r="I370" i="17" s="1"/>
  <c r="I371" i="17" s="1"/>
  <c r="I372" i="17" s="1"/>
  <c r="I373" i="17" s="1"/>
  <c r="I374" i="17" s="1"/>
  <c r="I375" i="17" s="1"/>
  <c r="I376" i="17" s="1"/>
  <c r="I377" i="17" s="1"/>
  <c r="I378" i="17" s="1"/>
  <c r="I379" i="17" s="1"/>
  <c r="I380" i="17" s="1"/>
  <c r="I381" i="17" s="1"/>
  <c r="I382" i="17" s="1"/>
  <c r="I383" i="17" s="1"/>
  <c r="I384" i="17" s="1"/>
  <c r="I385" i="17" s="1"/>
  <c r="I386" i="17" s="1"/>
  <c r="I387" i="17" s="1"/>
  <c r="I388" i="17" s="1"/>
  <c r="I389" i="17" s="1"/>
  <c r="I390" i="17" s="1"/>
  <c r="I391" i="17" s="1"/>
  <c r="I392" i="17" s="1"/>
  <c r="I393" i="17" s="1"/>
  <c r="I394" i="17" s="1"/>
  <c r="I395" i="17" s="1"/>
  <c r="I396" i="17" s="1"/>
  <c r="I397" i="17" s="1"/>
  <c r="I398" i="17" s="1"/>
  <c r="I399" i="17" s="1"/>
  <c r="I400" i="17" s="1"/>
  <c r="I401" i="17" s="1"/>
  <c r="C283" i="17"/>
  <c r="I262" i="17"/>
  <c r="J262" i="17" s="1"/>
  <c r="K262" i="17" s="1"/>
  <c r="I261" i="17"/>
  <c r="I263" i="17" s="1"/>
  <c r="K258" i="17"/>
  <c r="L258" i="17" s="1"/>
  <c r="K27" i="19"/>
  <c r="L21" i="19"/>
  <c r="I21" i="19"/>
  <c r="I22" i="19" s="1"/>
  <c r="I23" i="19" s="1"/>
  <c r="I20" i="19"/>
  <c r="D27" i="19"/>
  <c r="E28" i="19" s="1"/>
  <c r="G19" i="19"/>
  <c r="D21" i="19"/>
  <c r="G21" i="19" s="1"/>
  <c r="K29" i="19" s="1"/>
  <c r="D20" i="19"/>
  <c r="G20" i="19" s="1"/>
  <c r="K28" i="19" s="1"/>
  <c r="E225" i="17"/>
  <c r="F49" i="17"/>
  <c r="F50" i="17" s="1"/>
  <c r="F51" i="17" s="1"/>
  <c r="F52" i="17" s="1"/>
  <c r="F53" i="17" s="1"/>
  <c r="F54" i="17" s="1"/>
  <c r="F55" i="17" s="1"/>
  <c r="F56" i="17" s="1"/>
  <c r="F48" i="17"/>
  <c r="F41" i="17"/>
  <c r="D47" i="17"/>
  <c r="D48" i="17" s="1"/>
  <c r="D49" i="17" s="1"/>
  <c r="D50" i="17" s="1"/>
  <c r="D51" i="17" s="1"/>
  <c r="D52" i="17" s="1"/>
  <c r="D53" i="17" s="1"/>
  <c r="D54" i="17" s="1"/>
  <c r="D55" i="17" s="1"/>
  <c r="D56" i="17" s="1"/>
  <c r="I56" i="17" s="1"/>
  <c r="E48" i="18"/>
  <c r="E43" i="18"/>
  <c r="C50" i="18"/>
  <c r="D51" i="18"/>
  <c r="C45" i="18"/>
  <c r="D46" i="18" s="1"/>
  <c r="C43" i="18"/>
  <c r="D44" i="18" s="1"/>
  <c r="I43" i="18"/>
  <c r="I44" i="18"/>
  <c r="I45" i="18"/>
  <c r="I46" i="18" s="1"/>
  <c r="I47" i="18" s="1"/>
  <c r="I48" i="18" s="1"/>
  <c r="I49" i="18" s="1"/>
  <c r="I50" i="18" s="1"/>
  <c r="I51" i="18" s="1"/>
  <c r="I52" i="18" s="1"/>
  <c r="I53" i="18" s="1"/>
  <c r="I54" i="18" s="1"/>
  <c r="I55" i="18" s="1"/>
  <c r="I56" i="18" s="1"/>
  <c r="I57" i="18" s="1"/>
  <c r="I58" i="18" s="1"/>
  <c r="I59" i="18" s="1"/>
  <c r="I60" i="18" s="1"/>
  <c r="I61" i="18" s="1"/>
  <c r="I62" i="18" s="1"/>
  <c r="I63" i="18" s="1"/>
  <c r="I42" i="18"/>
  <c r="I41" i="18"/>
  <c r="H40" i="18"/>
  <c r="J40" i="18" s="1"/>
  <c r="G41" i="18" s="1"/>
  <c r="I40" i="18"/>
  <c r="G40" i="18"/>
  <c r="F63" i="18"/>
  <c r="F62" i="18"/>
  <c r="F61" i="18"/>
  <c r="F42" i="18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57" i="18" s="1"/>
  <c r="F58" i="18" s="1"/>
  <c r="F59" i="18" s="1"/>
  <c r="F60" i="18" s="1"/>
  <c r="F41" i="18"/>
  <c r="C40" i="18"/>
  <c r="D41" i="18" s="1"/>
  <c r="G36" i="18"/>
  <c r="D26" i="18"/>
  <c r="J21" i="18"/>
  <c r="J20" i="18"/>
  <c r="I20" i="18"/>
  <c r="H20" i="18"/>
  <c r="G20" i="18"/>
  <c r="F20" i="18"/>
  <c r="E20" i="18"/>
  <c r="D20" i="18"/>
  <c r="I17" i="18"/>
  <c r="H17" i="18"/>
  <c r="G17" i="18"/>
  <c r="F17" i="18"/>
  <c r="E17" i="18"/>
  <c r="D17" i="18"/>
  <c r="F16" i="18"/>
  <c r="G16" i="18" s="1"/>
  <c r="H16" i="18" s="1"/>
  <c r="I16" i="18" s="1"/>
  <c r="E16" i="18"/>
  <c r="D16" i="18"/>
  <c r="D12" i="18"/>
  <c r="N89" i="17"/>
  <c r="M89" i="17"/>
  <c r="L89" i="17"/>
  <c r="K89" i="17"/>
  <c r="J89" i="17"/>
  <c r="I89" i="17"/>
  <c r="H89" i="17"/>
  <c r="G89" i="17"/>
  <c r="F89" i="17"/>
  <c r="E89" i="17"/>
  <c r="N78" i="17"/>
  <c r="N90" i="17" s="1"/>
  <c r="M78" i="17"/>
  <c r="M90" i="17" s="1"/>
  <c r="L78" i="17"/>
  <c r="L90" i="17" s="1"/>
  <c r="K78" i="17"/>
  <c r="K90" i="17" s="1"/>
  <c r="J78" i="17"/>
  <c r="J90" i="17" s="1"/>
  <c r="I78" i="17"/>
  <c r="I90" i="17" s="1"/>
  <c r="H78" i="17"/>
  <c r="H90" i="17" s="1"/>
  <c r="G78" i="17"/>
  <c r="F78" i="17"/>
  <c r="E78" i="17"/>
  <c r="E90" i="17" s="1"/>
  <c r="E260" i="17"/>
  <c r="B259" i="17"/>
  <c r="B260" i="17" s="1"/>
  <c r="N251" i="17"/>
  <c r="K251" i="17"/>
  <c r="H251" i="17"/>
  <c r="E251" i="17"/>
  <c r="E254" i="17" s="1"/>
  <c r="F255" i="17" s="1"/>
  <c r="C258" i="17" s="1"/>
  <c r="D258" i="17" s="1"/>
  <c r="F258" i="17" s="1"/>
  <c r="C259" i="17" s="1"/>
  <c r="Q203" i="17"/>
  <c r="Q204" i="17" s="1"/>
  <c r="Q205" i="17" s="1"/>
  <c r="Q206" i="17" s="1"/>
  <c r="Q207" i="17" s="1"/>
  <c r="Q208" i="17" s="1"/>
  <c r="Q209" i="17" s="1"/>
  <c r="Q210" i="17" s="1"/>
  <c r="Q211" i="17" s="1"/>
  <c r="T202" i="17"/>
  <c r="T203" i="17" s="1"/>
  <c r="T204" i="17" s="1"/>
  <c r="T205" i="17" s="1"/>
  <c r="T206" i="17" s="1"/>
  <c r="T207" i="17" s="1"/>
  <c r="T208" i="17" s="1"/>
  <c r="T209" i="17" s="1"/>
  <c r="T210" i="17" s="1"/>
  <c r="T211" i="17" s="1"/>
  <c r="E226" i="17"/>
  <c r="F226" i="17" s="1"/>
  <c r="G226" i="17" s="1"/>
  <c r="H226" i="17" s="1"/>
  <c r="I226" i="17" s="1"/>
  <c r="J226" i="17" s="1"/>
  <c r="K226" i="17" s="1"/>
  <c r="L226" i="17" s="1"/>
  <c r="M226" i="17" s="1"/>
  <c r="N226" i="17" s="1"/>
  <c r="N223" i="17"/>
  <c r="M223" i="17"/>
  <c r="L223" i="17"/>
  <c r="K223" i="17"/>
  <c r="J223" i="17"/>
  <c r="I223" i="17"/>
  <c r="H223" i="17"/>
  <c r="G223" i="17"/>
  <c r="F223" i="17"/>
  <c r="E223" i="17"/>
  <c r="E216" i="17"/>
  <c r="N212" i="17"/>
  <c r="M212" i="17"/>
  <c r="M224" i="17" s="1"/>
  <c r="L212" i="17"/>
  <c r="L224" i="17" s="1"/>
  <c r="K212" i="17"/>
  <c r="K224" i="17" s="1"/>
  <c r="J212" i="17"/>
  <c r="J224" i="17" s="1"/>
  <c r="I212" i="17"/>
  <c r="I224" i="17" s="1"/>
  <c r="H212" i="17"/>
  <c r="H224" i="17" s="1"/>
  <c r="G212" i="17"/>
  <c r="F212" i="17"/>
  <c r="E212" i="17"/>
  <c r="E224" i="17" s="1"/>
  <c r="L203" i="17"/>
  <c r="F205" i="17" s="1"/>
  <c r="G202" i="17"/>
  <c r="E221" i="17" s="1"/>
  <c r="E189" i="17"/>
  <c r="F189" i="17" s="1"/>
  <c r="G189" i="17" s="1"/>
  <c r="H189" i="17" s="1"/>
  <c r="I189" i="17" s="1"/>
  <c r="J189" i="17" s="1"/>
  <c r="K189" i="17" s="1"/>
  <c r="L189" i="17" s="1"/>
  <c r="M189" i="17" s="1"/>
  <c r="N189" i="17" s="1"/>
  <c r="T167" i="17"/>
  <c r="T168" i="17" s="1"/>
  <c r="T169" i="17" s="1"/>
  <c r="T170" i="17" s="1"/>
  <c r="T171" i="17" s="1"/>
  <c r="T172" i="17" s="1"/>
  <c r="T173" i="17" s="1"/>
  <c r="T174" i="17" s="1"/>
  <c r="T175" i="17" s="1"/>
  <c r="T176" i="17" s="1"/>
  <c r="Q168" i="17"/>
  <c r="Q169" i="17" s="1"/>
  <c r="Q170" i="17" s="1"/>
  <c r="Q171" i="17" s="1"/>
  <c r="Q172" i="17" s="1"/>
  <c r="Q173" i="17" s="1"/>
  <c r="Q174" i="17" s="1"/>
  <c r="Q175" i="17" s="1"/>
  <c r="Q176" i="17" s="1"/>
  <c r="L168" i="17"/>
  <c r="R167" i="17" s="1"/>
  <c r="N186" i="17"/>
  <c r="M186" i="17"/>
  <c r="L186" i="17"/>
  <c r="K186" i="17"/>
  <c r="J186" i="17"/>
  <c r="I186" i="17"/>
  <c r="H186" i="17"/>
  <c r="G186" i="17"/>
  <c r="F186" i="17"/>
  <c r="E186" i="17"/>
  <c r="E179" i="17"/>
  <c r="N176" i="17"/>
  <c r="M176" i="17"/>
  <c r="L176" i="17"/>
  <c r="L187" i="17" s="1"/>
  <c r="K176" i="17"/>
  <c r="K187" i="17" s="1"/>
  <c r="J176" i="17"/>
  <c r="J187" i="17" s="1"/>
  <c r="I176" i="17"/>
  <c r="I187" i="17" s="1"/>
  <c r="H176" i="17"/>
  <c r="H187" i="17" s="1"/>
  <c r="G176" i="17"/>
  <c r="G187" i="17" s="1"/>
  <c r="F176" i="17"/>
  <c r="E176" i="17"/>
  <c r="E187" i="17" s="1"/>
  <c r="G167" i="17"/>
  <c r="E184" i="17" s="1"/>
  <c r="E188" i="17" s="1"/>
  <c r="F188" i="17" s="1"/>
  <c r="G188" i="17" s="1"/>
  <c r="H188" i="17" s="1"/>
  <c r="I188" i="17" s="1"/>
  <c r="J188" i="17" s="1"/>
  <c r="K188" i="17" s="1"/>
  <c r="L188" i="17" s="1"/>
  <c r="M188" i="17" s="1"/>
  <c r="N188" i="17" s="1"/>
  <c r="E144" i="17"/>
  <c r="N141" i="17"/>
  <c r="N152" i="17" s="1"/>
  <c r="M141" i="17"/>
  <c r="M152" i="17" s="1"/>
  <c r="L141" i="17"/>
  <c r="L152" i="17" s="1"/>
  <c r="K141" i="17"/>
  <c r="K152" i="17" s="1"/>
  <c r="J141" i="17"/>
  <c r="J152" i="17" s="1"/>
  <c r="I141" i="17"/>
  <c r="I152" i="17" s="1"/>
  <c r="H141" i="17"/>
  <c r="H152" i="17" s="1"/>
  <c r="G141" i="17"/>
  <c r="G152" i="17" s="1"/>
  <c r="F141" i="17"/>
  <c r="F152" i="17" s="1"/>
  <c r="E141" i="17"/>
  <c r="E152" i="17" s="1"/>
  <c r="G132" i="17"/>
  <c r="G135" i="17" s="1"/>
  <c r="F134" i="17" s="1"/>
  <c r="E142" i="17" s="1"/>
  <c r="F142" i="17" s="1"/>
  <c r="G142" i="17" s="1"/>
  <c r="H142" i="17" s="1"/>
  <c r="I142" i="17" s="1"/>
  <c r="J142" i="17" s="1"/>
  <c r="K142" i="17" s="1"/>
  <c r="L142" i="17" s="1"/>
  <c r="M142" i="17" s="1"/>
  <c r="N142" i="17" s="1"/>
  <c r="C46" i="17"/>
  <c r="E46" i="17" s="1"/>
  <c r="G19" i="17"/>
  <c r="P164" i="14"/>
  <c r="P162" i="14"/>
  <c r="P163" i="14"/>
  <c r="P165" i="14" s="1"/>
  <c r="P161" i="14"/>
  <c r="K165" i="14"/>
  <c r="E165" i="14"/>
  <c r="E167" i="14" s="1"/>
  <c r="J163" i="14"/>
  <c r="J181" i="14" s="1"/>
  <c r="J162" i="14"/>
  <c r="K167" i="14"/>
  <c r="J186" i="14"/>
  <c r="J155" i="14"/>
  <c r="J150" i="14"/>
  <c r="K136" i="14"/>
  <c r="E136" i="14"/>
  <c r="J135" i="14"/>
  <c r="K134" i="14"/>
  <c r="J146" i="14" s="1"/>
  <c r="J148" i="14" s="1"/>
  <c r="E134" i="14"/>
  <c r="J132" i="14"/>
  <c r="J131" i="14"/>
  <c r="J130" i="14"/>
  <c r="J147" i="14"/>
  <c r="J133" i="14"/>
  <c r="M123" i="14"/>
  <c r="L123" i="14"/>
  <c r="K123" i="14"/>
  <c r="J123" i="14"/>
  <c r="I123" i="14"/>
  <c r="H123" i="14"/>
  <c r="G123" i="14"/>
  <c r="F123" i="14"/>
  <c r="E123" i="14"/>
  <c r="D123" i="14"/>
  <c r="M122" i="14"/>
  <c r="L122" i="14"/>
  <c r="K122" i="14"/>
  <c r="J122" i="14"/>
  <c r="I122" i="14"/>
  <c r="H122" i="14"/>
  <c r="G122" i="14"/>
  <c r="F122" i="14"/>
  <c r="E122" i="14"/>
  <c r="D122" i="14"/>
  <c r="M118" i="14"/>
  <c r="L118" i="14"/>
  <c r="K118" i="14"/>
  <c r="J118" i="14"/>
  <c r="I118" i="14"/>
  <c r="H118" i="14"/>
  <c r="G118" i="14"/>
  <c r="F118" i="14"/>
  <c r="E118" i="14"/>
  <c r="D118" i="14"/>
  <c r="M117" i="14"/>
  <c r="L117" i="14"/>
  <c r="K117" i="14"/>
  <c r="J117" i="14"/>
  <c r="I117" i="14"/>
  <c r="H117" i="14"/>
  <c r="G117" i="14"/>
  <c r="F117" i="14"/>
  <c r="E117" i="14"/>
  <c r="D117" i="14"/>
  <c r="F115" i="14"/>
  <c r="E114" i="14"/>
  <c r="F114" i="14" s="1"/>
  <c r="G114" i="14" s="1"/>
  <c r="H114" i="14" s="1"/>
  <c r="I114" i="14" s="1"/>
  <c r="J114" i="14" s="1"/>
  <c r="K114" i="14" s="1"/>
  <c r="L114" i="14" s="1"/>
  <c r="M114" i="14" s="1"/>
  <c r="F65" i="14"/>
  <c r="D81" i="14" s="1"/>
  <c r="F78" i="14"/>
  <c r="F74" i="14"/>
  <c r="D78" i="14"/>
  <c r="D77" i="14"/>
  <c r="E79" i="14"/>
  <c r="D74" i="14"/>
  <c r="D73" i="14"/>
  <c r="E75" i="14"/>
  <c r="E64" i="14"/>
  <c r="F64" i="14" s="1"/>
  <c r="G64" i="14" s="1"/>
  <c r="H64" i="14" s="1"/>
  <c r="I64" i="14" s="1"/>
  <c r="J64" i="14" s="1"/>
  <c r="K64" i="14" s="1"/>
  <c r="L64" i="14" s="1"/>
  <c r="M64" i="14" s="1"/>
  <c r="D50" i="14"/>
  <c r="E48" i="14"/>
  <c r="C6" i="14"/>
  <c r="D56" i="14" s="1"/>
  <c r="C5" i="14"/>
  <c r="D51" i="14" s="1"/>
  <c r="E8" i="14"/>
  <c r="F8" i="14" s="1"/>
  <c r="M26" i="7"/>
  <c r="M27" i="7" s="1"/>
  <c r="E17" i="6"/>
  <c r="G17" i="6"/>
  <c r="I17" i="6"/>
  <c r="K17" i="6"/>
  <c r="K17" i="7"/>
  <c r="I17" i="7"/>
  <c r="G17" i="7"/>
  <c r="E17" i="7"/>
  <c r="E25" i="6"/>
  <c r="E28" i="6" s="1"/>
  <c r="E29" i="6" s="1"/>
  <c r="D33" i="6" s="1"/>
  <c r="G25" i="6"/>
  <c r="G28" i="6" s="1"/>
  <c r="G29" i="6" s="1"/>
  <c r="F33" i="6" s="1"/>
  <c r="I25" i="6"/>
  <c r="I28" i="6" s="1"/>
  <c r="I29" i="6" s="1"/>
  <c r="H33" i="6" s="1"/>
  <c r="K25" i="6"/>
  <c r="K28" i="6" s="1"/>
  <c r="K29" i="6" s="1"/>
  <c r="J33" i="6" s="1"/>
  <c r="E26" i="6"/>
  <c r="G26" i="6"/>
  <c r="I26" i="6"/>
  <c r="K26" i="6"/>
  <c r="E30" i="6"/>
  <c r="G30" i="6"/>
  <c r="I30" i="6"/>
  <c r="K30" i="6"/>
  <c r="D36" i="6"/>
  <c r="D39" i="6" s="1"/>
  <c r="F39" i="6" s="1"/>
  <c r="H39" i="6" s="1"/>
  <c r="J39" i="6" s="1"/>
  <c r="F36" i="6"/>
  <c r="H36" i="6"/>
  <c r="J36" i="6"/>
  <c r="E37" i="6"/>
  <c r="E31" i="6" s="1"/>
  <c r="G37" i="6"/>
  <c r="I37" i="6"/>
  <c r="K37" i="6"/>
  <c r="S14" i="6"/>
  <c r="S13" i="6"/>
  <c r="S12" i="6"/>
  <c r="S11" i="6"/>
  <c r="R14" i="6"/>
  <c r="R13" i="6"/>
  <c r="R12" i="6"/>
  <c r="R11" i="6"/>
  <c r="C13" i="12"/>
  <c r="C9" i="12"/>
  <c r="D6" i="12"/>
  <c r="D255" i="10"/>
  <c r="B253" i="10"/>
  <c r="C253" i="10" s="1"/>
  <c r="E252" i="10"/>
  <c r="C252" i="10"/>
  <c r="C251" i="10"/>
  <c r="E251" i="10" s="1"/>
  <c r="B252" i="10" s="1"/>
  <c r="B251" i="10"/>
  <c r="A253" i="10"/>
  <c r="A254" i="10"/>
  <c r="A255" i="10"/>
  <c r="A252" i="10"/>
  <c r="E240" i="10"/>
  <c r="F242" i="10"/>
  <c r="C247" i="10"/>
  <c r="I7" i="10"/>
  <c r="E218" i="10"/>
  <c r="F223" i="10" s="1"/>
  <c r="E222" i="10" s="1"/>
  <c r="E213" i="10"/>
  <c r="E209" i="10"/>
  <c r="E204" i="10"/>
  <c r="E196" i="10"/>
  <c r="D134" i="10"/>
  <c r="D135" i="10" s="1"/>
  <c r="D136" i="10" s="1"/>
  <c r="D137" i="10" s="1"/>
  <c r="D138" i="10" s="1"/>
  <c r="D139" i="10" s="1"/>
  <c r="D140" i="10" s="1"/>
  <c r="D141" i="10" s="1"/>
  <c r="D142" i="10" s="1"/>
  <c r="A135" i="10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C127" i="10"/>
  <c r="E121" i="10" s="1"/>
  <c r="E120" i="10" s="1"/>
  <c r="E170" i="10"/>
  <c r="F171" i="10" s="1"/>
  <c r="E166" i="10"/>
  <c r="F167" i="10" s="1"/>
  <c r="E50" i="10"/>
  <c r="D62" i="10" s="1"/>
  <c r="A63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F57" i="10"/>
  <c r="E56" i="10" s="1"/>
  <c r="B62" i="10" s="1"/>
  <c r="C62" i="10" s="1"/>
  <c r="F91" i="10" s="1"/>
  <c r="E94" i="10" s="1"/>
  <c r="F95" i="10" s="1"/>
  <c r="E98" i="10"/>
  <c r="F99" i="10" s="1"/>
  <c r="E30" i="10"/>
  <c r="F31" i="10" s="1"/>
  <c r="E26" i="10"/>
  <c r="F27" i="10" s="1"/>
  <c r="E15" i="10"/>
  <c r="E77" i="8"/>
  <c r="E73" i="8"/>
  <c r="K29" i="9"/>
  <c r="K26" i="9"/>
  <c r="K7" i="9"/>
  <c r="J6" i="9"/>
  <c r="K5" i="9"/>
  <c r="K25" i="9"/>
  <c r="K17" i="9" s="1"/>
  <c r="I25" i="9"/>
  <c r="I29" i="9" s="1"/>
  <c r="I17" i="9" s="1"/>
  <c r="G25" i="9"/>
  <c r="G29" i="9" s="1"/>
  <c r="G17" i="9" s="1"/>
  <c r="E25" i="9"/>
  <c r="E29" i="9" s="1"/>
  <c r="E17" i="9" s="1"/>
  <c r="E30" i="9" s="1"/>
  <c r="G30" i="9" s="1"/>
  <c r="I30" i="9" s="1"/>
  <c r="K24" i="9"/>
  <c r="I24" i="9"/>
  <c r="I27" i="9" s="1"/>
  <c r="I28" i="9" s="1"/>
  <c r="I16" i="9" s="1"/>
  <c r="G24" i="9"/>
  <c r="G27" i="9" s="1"/>
  <c r="G28" i="9" s="1"/>
  <c r="G16" i="9" s="1"/>
  <c r="E24" i="9"/>
  <c r="E27" i="9" s="1"/>
  <c r="E28" i="9" s="1"/>
  <c r="E16" i="9" s="1"/>
  <c r="Q7" i="9"/>
  <c r="Q6" i="9"/>
  <c r="I6" i="9"/>
  <c r="G6" i="9"/>
  <c r="E6" i="9"/>
  <c r="E7" i="9" s="1"/>
  <c r="Q5" i="9"/>
  <c r="Q4" i="9"/>
  <c r="H64" i="8"/>
  <c r="H63" i="8"/>
  <c r="H60" i="8"/>
  <c r="H59" i="8"/>
  <c r="H61" i="8" s="1"/>
  <c r="H57" i="8"/>
  <c r="H56" i="8"/>
  <c r="H55" i="8"/>
  <c r="G51" i="8"/>
  <c r="H52" i="8" s="1"/>
  <c r="I45" i="8"/>
  <c r="C45" i="8"/>
  <c r="I43" i="8"/>
  <c r="C43" i="8"/>
  <c r="H49" i="8"/>
  <c r="G48" i="8"/>
  <c r="H42" i="8"/>
  <c r="K25" i="8"/>
  <c r="K30" i="8" s="1"/>
  <c r="K17" i="8" s="1"/>
  <c r="I25" i="8"/>
  <c r="I30" i="8" s="1"/>
  <c r="I17" i="8" s="1"/>
  <c r="G25" i="8"/>
  <c r="G30" i="8" s="1"/>
  <c r="G17" i="8" s="1"/>
  <c r="E25" i="8"/>
  <c r="K24" i="8"/>
  <c r="K33" i="8" s="1"/>
  <c r="I24" i="8"/>
  <c r="I33" i="8" s="1"/>
  <c r="G24" i="8"/>
  <c r="G33" i="8" s="1"/>
  <c r="E24" i="8"/>
  <c r="E33" i="8" s="1"/>
  <c r="Q7" i="8"/>
  <c r="Q6" i="8"/>
  <c r="K6" i="8"/>
  <c r="I6" i="8"/>
  <c r="G6" i="8"/>
  <c r="E6" i="8"/>
  <c r="E7" i="8" s="1"/>
  <c r="O4" i="8" s="1"/>
  <c r="P4" i="8" s="1"/>
  <c r="Q5" i="8"/>
  <c r="Q4" i="8"/>
  <c r="K30" i="7"/>
  <c r="K25" i="7"/>
  <c r="I25" i="7"/>
  <c r="I30" i="7" s="1"/>
  <c r="G25" i="7"/>
  <c r="G30" i="7" s="1"/>
  <c r="E25" i="7"/>
  <c r="E30" i="7" s="1"/>
  <c r="K24" i="7"/>
  <c r="K28" i="7" s="1"/>
  <c r="I24" i="7"/>
  <c r="I28" i="7" s="1"/>
  <c r="I29" i="7" s="1"/>
  <c r="H35" i="7" s="1"/>
  <c r="G24" i="7"/>
  <c r="G28" i="7" s="1"/>
  <c r="E24" i="7"/>
  <c r="E28" i="7" s="1"/>
  <c r="E29" i="7" s="1"/>
  <c r="D35" i="7" s="1"/>
  <c r="Q7" i="7"/>
  <c r="Q6" i="7"/>
  <c r="K6" i="7"/>
  <c r="I6" i="7"/>
  <c r="G6" i="7"/>
  <c r="E6" i="7"/>
  <c r="E7" i="7" s="1"/>
  <c r="Q5" i="7"/>
  <c r="Q4" i="7"/>
  <c r="Q7" i="6"/>
  <c r="Q6" i="6"/>
  <c r="Q5" i="6"/>
  <c r="Q4" i="6"/>
  <c r="K6" i="6"/>
  <c r="I6" i="6"/>
  <c r="G6" i="6"/>
  <c r="E6" i="6"/>
  <c r="E7" i="6" s="1"/>
  <c r="O110" i="3"/>
  <c r="O111" i="3" s="1"/>
  <c r="O112" i="3" s="1"/>
  <c r="O104" i="3"/>
  <c r="O105" i="3" s="1"/>
  <c r="O106" i="3" s="1"/>
  <c r="Q96" i="3"/>
  <c r="Q98" i="3" s="1"/>
  <c r="R101" i="3" s="1"/>
  <c r="I110" i="3"/>
  <c r="I111" i="3" s="1"/>
  <c r="I112" i="3" s="1"/>
  <c r="I104" i="3"/>
  <c r="I105" i="3" s="1"/>
  <c r="I106" i="3" s="1"/>
  <c r="K96" i="3"/>
  <c r="K98" i="3" s="1"/>
  <c r="L101" i="3" s="1"/>
  <c r="K100" i="3" s="1"/>
  <c r="K109" i="3" s="1"/>
  <c r="K110" i="3" s="1"/>
  <c r="K111" i="3" s="1"/>
  <c r="K112" i="3" s="1"/>
  <c r="M81" i="3"/>
  <c r="K81" i="3"/>
  <c r="I81" i="3"/>
  <c r="I76" i="3"/>
  <c r="I75" i="3" s="1"/>
  <c r="N71" i="3"/>
  <c r="M70" i="3" s="1"/>
  <c r="I66" i="3"/>
  <c r="K66" i="3"/>
  <c r="M66" i="3"/>
  <c r="I24" i="21" l="1"/>
  <c r="J24" i="21" s="1"/>
  <c r="J28" i="21"/>
  <c r="J282" i="17"/>
  <c r="G283" i="17" s="1"/>
  <c r="G47" i="17"/>
  <c r="E61" i="17"/>
  <c r="E70" i="17" s="1"/>
  <c r="D69" i="17" s="1"/>
  <c r="K30" i="19"/>
  <c r="L23" i="19"/>
  <c r="G22" i="19"/>
  <c r="E25" i="19" s="1"/>
  <c r="H41" i="18"/>
  <c r="C48" i="18" s="1"/>
  <c r="D49" i="18" s="1"/>
  <c r="E80" i="17"/>
  <c r="F90" i="17"/>
  <c r="G90" i="17"/>
  <c r="E263" i="17"/>
  <c r="F264" i="17" s="1"/>
  <c r="D259" i="17"/>
  <c r="J261" i="17" s="1"/>
  <c r="J263" i="17" s="1"/>
  <c r="R202" i="17"/>
  <c r="S202" i="17" s="1"/>
  <c r="E214" i="17" s="1"/>
  <c r="G206" i="17"/>
  <c r="N224" i="17"/>
  <c r="F225" i="17"/>
  <c r="G225" i="17" s="1"/>
  <c r="H225" i="17" s="1"/>
  <c r="I225" i="17" s="1"/>
  <c r="J225" i="17" s="1"/>
  <c r="K225" i="17" s="1"/>
  <c r="L225" i="17" s="1"/>
  <c r="M225" i="17" s="1"/>
  <c r="N225" i="17" s="1"/>
  <c r="E227" i="17"/>
  <c r="F224" i="17"/>
  <c r="G224" i="17"/>
  <c r="S167" i="17"/>
  <c r="E177" i="17" s="1"/>
  <c r="G170" i="17"/>
  <c r="E178" i="17" s="1"/>
  <c r="J190" i="17"/>
  <c r="H190" i="17"/>
  <c r="L190" i="17"/>
  <c r="I190" i="17"/>
  <c r="G190" i="17"/>
  <c r="E190" i="17"/>
  <c r="K190" i="17"/>
  <c r="M187" i="17"/>
  <c r="M190" i="17" s="1"/>
  <c r="N187" i="17"/>
  <c r="N190" i="17" s="1"/>
  <c r="F187" i="17"/>
  <c r="F190" i="17" s="1"/>
  <c r="E143" i="17"/>
  <c r="E145" i="17" s="1"/>
  <c r="G151" i="17"/>
  <c r="H151" i="17"/>
  <c r="E149" i="17"/>
  <c r="E153" i="17" s="1"/>
  <c r="F153" i="17" s="1"/>
  <c r="G153" i="17" s="1"/>
  <c r="H153" i="17" s="1"/>
  <c r="I153" i="17" s="1"/>
  <c r="J153" i="17" s="1"/>
  <c r="K153" i="17" s="1"/>
  <c r="L153" i="17" s="1"/>
  <c r="M153" i="17" s="1"/>
  <c r="N153" i="17" s="1"/>
  <c r="I151" i="17"/>
  <c r="K151" i="17"/>
  <c r="M151" i="17"/>
  <c r="L151" i="17"/>
  <c r="N151" i="17"/>
  <c r="F151" i="17"/>
  <c r="J151" i="17"/>
  <c r="E151" i="17"/>
  <c r="H145" i="17"/>
  <c r="J145" i="17"/>
  <c r="F145" i="17"/>
  <c r="K145" i="17"/>
  <c r="M145" i="17"/>
  <c r="G145" i="17"/>
  <c r="I145" i="17"/>
  <c r="L145" i="17"/>
  <c r="N145" i="17"/>
  <c r="D66" i="17"/>
  <c r="E62" i="17"/>
  <c r="I48" i="17"/>
  <c r="I55" i="17"/>
  <c r="I50" i="17"/>
  <c r="I52" i="17"/>
  <c r="I54" i="17"/>
  <c r="I53" i="17"/>
  <c r="I51" i="17"/>
  <c r="I47" i="17"/>
  <c r="I49" i="17"/>
  <c r="P158" i="14"/>
  <c r="J182" i="14"/>
  <c r="J183" i="14" s="1"/>
  <c r="I173" i="14"/>
  <c r="J174" i="14" s="1"/>
  <c r="J177" i="14"/>
  <c r="J178" i="14"/>
  <c r="J165" i="14"/>
  <c r="J166" i="14" s="1"/>
  <c r="I170" i="14" s="1"/>
  <c r="J134" i="14"/>
  <c r="I139" i="14" s="1"/>
  <c r="G120" i="14"/>
  <c r="E120" i="14"/>
  <c r="F120" i="14"/>
  <c r="H120" i="14"/>
  <c r="D120" i="14"/>
  <c r="D68" i="14"/>
  <c r="E68" i="14" s="1"/>
  <c r="F68" i="14" s="1"/>
  <c r="G68" i="14" s="1"/>
  <c r="H68" i="14" s="1"/>
  <c r="D67" i="14"/>
  <c r="D52" i="14"/>
  <c r="D55" i="14"/>
  <c r="E50" i="14"/>
  <c r="F50" i="14" s="1"/>
  <c r="E51" i="14"/>
  <c r="E52" i="14" s="1"/>
  <c r="D11" i="14"/>
  <c r="F48" i="14"/>
  <c r="E56" i="14"/>
  <c r="G8" i="14"/>
  <c r="H8" i="14" s="1"/>
  <c r="I8" i="14" s="1"/>
  <c r="J8" i="14" s="1"/>
  <c r="K8" i="14" s="1"/>
  <c r="L8" i="14" s="1"/>
  <c r="M8" i="14" s="1"/>
  <c r="M11" i="14" s="1"/>
  <c r="F11" i="14"/>
  <c r="E11" i="14"/>
  <c r="D10" i="14"/>
  <c r="E10" i="14"/>
  <c r="F10" i="14"/>
  <c r="I33" i="7"/>
  <c r="K33" i="7"/>
  <c r="E33" i="7"/>
  <c r="E31" i="7"/>
  <c r="E36" i="7"/>
  <c r="E16" i="7"/>
  <c r="I16" i="7"/>
  <c r="I36" i="7"/>
  <c r="G33" i="7"/>
  <c r="G31" i="6"/>
  <c r="I31" i="6" s="1"/>
  <c r="K31" i="6" s="1"/>
  <c r="K16" i="6"/>
  <c r="K34" i="6"/>
  <c r="I16" i="6"/>
  <c r="I34" i="6"/>
  <c r="G34" i="6"/>
  <c r="G16" i="6"/>
  <c r="E16" i="6"/>
  <c r="E34" i="6"/>
  <c r="G7" i="6"/>
  <c r="O5" i="6" s="1"/>
  <c r="P5" i="6" s="1"/>
  <c r="R5" i="6" s="1"/>
  <c r="S5" i="6" s="1"/>
  <c r="O4" i="6"/>
  <c r="P4" i="6" s="1"/>
  <c r="R4" i="6" s="1"/>
  <c r="S4" i="6" s="1"/>
  <c r="E253" i="10"/>
  <c r="B254" i="10" s="1"/>
  <c r="D143" i="10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E178" i="10"/>
  <c r="F179" i="10" s="1"/>
  <c r="B134" i="10"/>
  <c r="C134" i="10" s="1"/>
  <c r="E174" i="10" s="1"/>
  <c r="F175" i="10" s="1"/>
  <c r="E62" i="10"/>
  <c r="B63" i="10" s="1"/>
  <c r="C63" i="10" s="1"/>
  <c r="E102" i="10"/>
  <c r="F103" i="10" s="1"/>
  <c r="E51" i="10"/>
  <c r="D63" i="10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K27" i="9"/>
  <c r="K28" i="9" s="1"/>
  <c r="K16" i="9" s="1"/>
  <c r="K18" i="9" s="1"/>
  <c r="K20" i="9" s="1"/>
  <c r="K30" i="9"/>
  <c r="K21" i="9"/>
  <c r="E21" i="9"/>
  <c r="E18" i="9"/>
  <c r="E20" i="9" s="1"/>
  <c r="G21" i="9"/>
  <c r="G18" i="9"/>
  <c r="G20" i="9" s="1"/>
  <c r="O4" i="9"/>
  <c r="P4" i="9" s="1"/>
  <c r="R4" i="9" s="1"/>
  <c r="S4" i="9" s="1"/>
  <c r="G7" i="9"/>
  <c r="I21" i="9"/>
  <c r="I18" i="9"/>
  <c r="I20" i="9" s="1"/>
  <c r="H65" i="8"/>
  <c r="E28" i="8"/>
  <c r="E29" i="8" s="1"/>
  <c r="E16" i="8" s="1"/>
  <c r="E30" i="8"/>
  <c r="E17" i="8" s="1"/>
  <c r="E31" i="8" s="1"/>
  <c r="H39" i="8"/>
  <c r="H43" i="8" s="1"/>
  <c r="H44" i="8" s="1"/>
  <c r="H40" i="8"/>
  <c r="R4" i="8"/>
  <c r="S4" i="8" s="1"/>
  <c r="E18" i="8"/>
  <c r="E20" i="8" s="1"/>
  <c r="E21" i="8"/>
  <c r="G31" i="8"/>
  <c r="I31" i="8" s="1"/>
  <c r="K31" i="8" s="1"/>
  <c r="G7" i="8"/>
  <c r="G28" i="8"/>
  <c r="G29" i="8" s="1"/>
  <c r="G16" i="8" s="1"/>
  <c r="I28" i="8"/>
  <c r="I29" i="8" s="1"/>
  <c r="I16" i="8" s="1"/>
  <c r="K28" i="8"/>
  <c r="K29" i="8" s="1"/>
  <c r="K16" i="8" s="1"/>
  <c r="G31" i="7"/>
  <c r="I31" i="7" s="1"/>
  <c r="K31" i="7" s="1"/>
  <c r="K29" i="7"/>
  <c r="J35" i="7" s="1"/>
  <c r="I20" i="7"/>
  <c r="I21" i="7" s="1"/>
  <c r="G29" i="7"/>
  <c r="E20" i="7"/>
  <c r="E21" i="7" s="1"/>
  <c r="E18" i="7"/>
  <c r="O4" i="7"/>
  <c r="P4" i="7" s="1"/>
  <c r="R4" i="7" s="1"/>
  <c r="S4" i="7" s="1"/>
  <c r="G7" i="7"/>
  <c r="I7" i="6"/>
  <c r="L106" i="3"/>
  <c r="R106" i="3"/>
  <c r="P103" i="3"/>
  <c r="Q100" i="3"/>
  <c r="Q109" i="3" s="1"/>
  <c r="Q110" i="3" s="1"/>
  <c r="Q111" i="3" s="1"/>
  <c r="Q112" i="3" s="1"/>
  <c r="J103" i="3"/>
  <c r="M78" i="3"/>
  <c r="N82" i="3" s="1"/>
  <c r="M83" i="3" s="1"/>
  <c r="I78" i="3"/>
  <c r="J82" i="3" s="1"/>
  <c r="K78" i="3"/>
  <c r="L82" i="3" s="1"/>
  <c r="K83" i="3" s="1"/>
  <c r="I77" i="3"/>
  <c r="P19" i="5"/>
  <c r="O19" i="5"/>
  <c r="N19" i="5"/>
  <c r="M19" i="5"/>
  <c r="N17" i="5" s="1"/>
  <c r="L19" i="5"/>
  <c r="K19" i="5"/>
  <c r="L17" i="5" s="1"/>
  <c r="J19" i="5"/>
  <c r="K17" i="5" s="1"/>
  <c r="I19" i="5"/>
  <c r="J17" i="5" s="1"/>
  <c r="J18" i="5" s="1"/>
  <c r="J36" i="5" s="1"/>
  <c r="H19" i="5"/>
  <c r="G19" i="5"/>
  <c r="G18" i="5" s="1"/>
  <c r="G23" i="5" s="1"/>
  <c r="N10" i="5"/>
  <c r="G37" i="5"/>
  <c r="P56" i="4"/>
  <c r="P53" i="4"/>
  <c r="O53" i="4"/>
  <c r="N53" i="4"/>
  <c r="M53" i="4"/>
  <c r="L53" i="4"/>
  <c r="K53" i="4"/>
  <c r="J53" i="4"/>
  <c r="I53" i="4"/>
  <c r="H53" i="4"/>
  <c r="G53" i="4"/>
  <c r="G33" i="4"/>
  <c r="G37" i="4" s="1"/>
  <c r="P20" i="4"/>
  <c r="O20" i="4"/>
  <c r="N20" i="4"/>
  <c r="P11" i="4"/>
  <c r="O11" i="4"/>
  <c r="N11" i="4"/>
  <c r="G8" i="4"/>
  <c r="G12" i="4" s="1"/>
  <c r="G7" i="4"/>
  <c r="H7" i="4" s="1"/>
  <c r="H20" i="4" s="1"/>
  <c r="O47" i="3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P44" i="3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H51" i="3"/>
  <c r="J46" i="3" s="1"/>
  <c r="K47" i="3"/>
  <c r="J36" i="3"/>
  <c r="K37" i="3" s="1"/>
  <c r="O145" i="17" l="1"/>
  <c r="N52" i="17"/>
  <c r="O53" i="17" s="1"/>
  <c r="H283" i="17"/>
  <c r="J283" i="17" s="1"/>
  <c r="G284" i="17" s="1"/>
  <c r="H284" i="17" s="1"/>
  <c r="J284" i="17" s="1"/>
  <c r="G285" i="17" s="1"/>
  <c r="H285" i="17" s="1"/>
  <c r="J285" i="17" s="1"/>
  <c r="G286" i="17" s="1"/>
  <c r="D24" i="19"/>
  <c r="E30" i="19"/>
  <c r="J19" i="19" s="1"/>
  <c r="K19" i="19" s="1"/>
  <c r="M19" i="19" s="1"/>
  <c r="J20" i="19" s="1"/>
  <c r="K20" i="19" s="1"/>
  <c r="M20" i="19" s="1"/>
  <c r="J21" i="19" s="1"/>
  <c r="J41" i="18"/>
  <c r="G42" i="18" s="1"/>
  <c r="E92" i="17"/>
  <c r="F92" i="17" s="1"/>
  <c r="G92" i="17" s="1"/>
  <c r="H92" i="17" s="1"/>
  <c r="I92" i="17" s="1"/>
  <c r="J92" i="17" s="1"/>
  <c r="K92" i="17" s="1"/>
  <c r="L92" i="17" s="1"/>
  <c r="M92" i="17" s="1"/>
  <c r="N92" i="17" s="1"/>
  <c r="E67" i="17"/>
  <c r="E87" i="17"/>
  <c r="E81" i="17"/>
  <c r="E91" i="17"/>
  <c r="F259" i="17"/>
  <c r="C260" i="17" s="1"/>
  <c r="D260" i="17" s="1"/>
  <c r="K261" i="17" s="1"/>
  <c r="K263" i="17" s="1"/>
  <c r="L263" i="17" s="1"/>
  <c r="E266" i="17"/>
  <c r="F267" i="17" s="1"/>
  <c r="U202" i="17"/>
  <c r="R203" i="17" s="1"/>
  <c r="S203" i="17" s="1"/>
  <c r="F214" i="17" s="1"/>
  <c r="E215" i="17"/>
  <c r="F204" i="17"/>
  <c r="E213" i="17" s="1"/>
  <c r="F213" i="17" s="1"/>
  <c r="G213" i="17" s="1"/>
  <c r="H213" i="17" s="1"/>
  <c r="I213" i="17" s="1"/>
  <c r="J213" i="17" s="1"/>
  <c r="K213" i="17" s="1"/>
  <c r="L213" i="17" s="1"/>
  <c r="M213" i="17" s="1"/>
  <c r="N213" i="17" s="1"/>
  <c r="N227" i="17"/>
  <c r="H227" i="17"/>
  <c r="I227" i="17"/>
  <c r="F169" i="17"/>
  <c r="U167" i="17"/>
  <c r="R168" i="17" s="1"/>
  <c r="S168" i="17" s="1"/>
  <c r="F177" i="17" s="1"/>
  <c r="M227" i="17"/>
  <c r="L227" i="17"/>
  <c r="G227" i="17"/>
  <c r="K227" i="17"/>
  <c r="F227" i="17"/>
  <c r="J227" i="17"/>
  <c r="O190" i="17"/>
  <c r="E180" i="17"/>
  <c r="F155" i="17"/>
  <c r="N155" i="17"/>
  <c r="G155" i="17"/>
  <c r="E155" i="17"/>
  <c r="I155" i="17"/>
  <c r="J155" i="17"/>
  <c r="M155" i="17"/>
  <c r="K155" i="17"/>
  <c r="H155" i="17"/>
  <c r="L155" i="17"/>
  <c r="H47" i="17"/>
  <c r="D72" i="17"/>
  <c r="E63" i="17"/>
  <c r="J185" i="14"/>
  <c r="J187" i="14" s="1"/>
  <c r="J171" i="14"/>
  <c r="J179" i="14"/>
  <c r="I142" i="14"/>
  <c r="J143" i="14" s="1"/>
  <c r="J151" i="14"/>
  <c r="J152" i="14" s="1"/>
  <c r="J140" i="14"/>
  <c r="J154" i="14"/>
  <c r="J156" i="14" s="1"/>
  <c r="I120" i="14"/>
  <c r="D70" i="14"/>
  <c r="E67" i="14"/>
  <c r="I68" i="14"/>
  <c r="H70" i="14"/>
  <c r="E55" i="14"/>
  <c r="D57" i="14"/>
  <c r="D59" i="14" s="1"/>
  <c r="D60" i="14" s="1"/>
  <c r="D61" i="14" s="1"/>
  <c r="G10" i="14"/>
  <c r="H10" i="14" s="1"/>
  <c r="D12" i="14"/>
  <c r="D13" i="14" s="1"/>
  <c r="D14" i="14" s="1"/>
  <c r="D17" i="14" s="1"/>
  <c r="E18" i="14" s="1"/>
  <c r="G50" i="14"/>
  <c r="H11" i="14"/>
  <c r="I11" i="14"/>
  <c r="G11" i="14"/>
  <c r="L11" i="14"/>
  <c r="F12" i="14"/>
  <c r="F13" i="14" s="1"/>
  <c r="K11" i="14"/>
  <c r="J11" i="14"/>
  <c r="G48" i="14"/>
  <c r="F56" i="14"/>
  <c r="F51" i="14"/>
  <c r="E12" i="14"/>
  <c r="E13" i="14" s="1"/>
  <c r="F35" i="7"/>
  <c r="K36" i="7"/>
  <c r="K16" i="7"/>
  <c r="E18" i="6"/>
  <c r="E21" i="6" s="1"/>
  <c r="E22" i="6"/>
  <c r="G22" i="6"/>
  <c r="G18" i="6"/>
  <c r="G21" i="6" s="1"/>
  <c r="I18" i="6"/>
  <c r="I21" i="6" s="1"/>
  <c r="I22" i="6"/>
  <c r="K18" i="6"/>
  <c r="K21" i="6" s="1"/>
  <c r="K22" i="6"/>
  <c r="K7" i="6"/>
  <c r="O7" i="6" s="1"/>
  <c r="P7" i="6" s="1"/>
  <c r="R7" i="6" s="1"/>
  <c r="S7" i="6" s="1"/>
  <c r="O6" i="6"/>
  <c r="P6" i="6" s="1"/>
  <c r="R6" i="6" s="1"/>
  <c r="S6" i="6" s="1"/>
  <c r="C254" i="10"/>
  <c r="E254" i="10" s="1"/>
  <c r="B255" i="10" s="1"/>
  <c r="E134" i="10"/>
  <c r="B135" i="10" s="1"/>
  <c r="C135" i="10" s="1"/>
  <c r="E63" i="10"/>
  <c r="B64" i="10" s="1"/>
  <c r="C64" i="10" s="1"/>
  <c r="E64" i="10" s="1"/>
  <c r="B65" i="10" s="1"/>
  <c r="I7" i="9"/>
  <c r="O5" i="9"/>
  <c r="P5" i="9" s="1"/>
  <c r="R5" i="9" s="1"/>
  <c r="S5" i="9" s="1"/>
  <c r="K18" i="8"/>
  <c r="K20" i="8" s="1"/>
  <c r="K21" i="8"/>
  <c r="G18" i="8"/>
  <c r="G20" i="8" s="1"/>
  <c r="G21" i="8"/>
  <c r="O5" i="8"/>
  <c r="P5" i="8" s="1"/>
  <c r="R5" i="8" s="1"/>
  <c r="S5" i="8" s="1"/>
  <c r="I7" i="8"/>
  <c r="I18" i="8"/>
  <c r="I20" i="8" s="1"/>
  <c r="I21" i="8"/>
  <c r="I18" i="7"/>
  <c r="I7" i="7"/>
  <c r="O5" i="7"/>
  <c r="P5" i="7" s="1"/>
  <c r="R5" i="7" s="1"/>
  <c r="S5" i="7" s="1"/>
  <c r="J109" i="3"/>
  <c r="L109" i="3" s="1"/>
  <c r="K103" i="3"/>
  <c r="Q103" i="3"/>
  <c r="P109" i="3" s="1"/>
  <c r="R109" i="3" s="1"/>
  <c r="M103" i="3"/>
  <c r="J104" i="3" s="1"/>
  <c r="I83" i="3"/>
  <c r="N85" i="3" s="1"/>
  <c r="J23" i="5"/>
  <c r="G36" i="5"/>
  <c r="K18" i="5"/>
  <c r="N18" i="5"/>
  <c r="L18" i="5"/>
  <c r="O17" i="5"/>
  <c r="O18" i="5" s="1"/>
  <c r="M17" i="5"/>
  <c r="M18" i="5" s="1"/>
  <c r="H17" i="5"/>
  <c r="H18" i="5" s="1"/>
  <c r="P17" i="5"/>
  <c r="P18" i="5" s="1"/>
  <c r="P23" i="5" s="1"/>
  <c r="I17" i="5"/>
  <c r="I18" i="5" s="1"/>
  <c r="J6" i="5"/>
  <c r="K6" i="5"/>
  <c r="I6" i="5"/>
  <c r="G10" i="5"/>
  <c r="O10" i="5"/>
  <c r="M10" i="5"/>
  <c r="G6" i="5"/>
  <c r="O6" i="5"/>
  <c r="K10" i="5"/>
  <c r="J10" i="5"/>
  <c r="L10" i="5"/>
  <c r="I10" i="5"/>
  <c r="H10" i="5"/>
  <c r="P10" i="5"/>
  <c r="H6" i="5"/>
  <c r="P6" i="5"/>
  <c r="N6" i="5"/>
  <c r="N12" i="5" s="1"/>
  <c r="N13" i="5" s="1"/>
  <c r="M6" i="5"/>
  <c r="L6" i="5"/>
  <c r="G27" i="5"/>
  <c r="G28" i="5"/>
  <c r="H33" i="4"/>
  <c r="G38" i="4"/>
  <c r="G39" i="4" s="1"/>
  <c r="G34" i="4"/>
  <c r="H34" i="4" s="1"/>
  <c r="G20" i="4"/>
  <c r="G21" i="4"/>
  <c r="I7" i="4"/>
  <c r="I20" i="4" s="1"/>
  <c r="H11" i="4"/>
  <c r="H8" i="4"/>
  <c r="H21" i="4" s="1"/>
  <c r="G11" i="4"/>
  <c r="J45" i="3"/>
  <c r="O45" i="3"/>
  <c r="O46" i="3" s="1"/>
  <c r="O48" i="3" s="1"/>
  <c r="P45" i="3" s="1"/>
  <c r="H286" i="17" l="1"/>
  <c r="J286" i="17"/>
  <c r="G287" i="17" s="1"/>
  <c r="O155" i="17"/>
  <c r="H287" i="17"/>
  <c r="J287" i="17"/>
  <c r="G288" i="17" s="1"/>
  <c r="K21" i="19"/>
  <c r="M21" i="19"/>
  <c r="J22" i="19" s="1"/>
  <c r="E82" i="17"/>
  <c r="J47" i="17"/>
  <c r="G48" i="17" s="1"/>
  <c r="E73" i="17"/>
  <c r="E79" i="17" s="1"/>
  <c r="E83" i="17" s="1"/>
  <c r="O47" i="17"/>
  <c r="H42" i="18"/>
  <c r="J42" i="18" s="1"/>
  <c r="G43" i="18" s="1"/>
  <c r="H43" i="18" s="1"/>
  <c r="J43" i="18" s="1"/>
  <c r="G44" i="18" s="1"/>
  <c r="E93" i="17"/>
  <c r="F91" i="17"/>
  <c r="F260" i="17"/>
  <c r="E269" i="17"/>
  <c r="F270" i="17" s="1"/>
  <c r="U203" i="17"/>
  <c r="R204" i="17" s="1"/>
  <c r="S204" i="17" s="1"/>
  <c r="E217" i="17"/>
  <c r="F217" i="17"/>
  <c r="U168" i="17"/>
  <c r="R169" i="17" s="1"/>
  <c r="S169" i="17" s="1"/>
  <c r="G177" i="17" s="1"/>
  <c r="O227" i="17"/>
  <c r="F180" i="17"/>
  <c r="J120" i="14"/>
  <c r="G12" i="14"/>
  <c r="G13" i="14" s="1"/>
  <c r="J68" i="14"/>
  <c r="I70" i="14"/>
  <c r="E70" i="14"/>
  <c r="F67" i="14"/>
  <c r="F55" i="14"/>
  <c r="E57" i="14"/>
  <c r="E59" i="14" s="1"/>
  <c r="E60" i="14" s="1"/>
  <c r="E61" i="14" s="1"/>
  <c r="F52" i="14"/>
  <c r="H50" i="14"/>
  <c r="F17" i="14"/>
  <c r="E14" i="14"/>
  <c r="D20" i="14" s="1"/>
  <c r="E21" i="14" s="1"/>
  <c r="G14" i="14"/>
  <c r="D26" i="14" s="1"/>
  <c r="E27" i="14" s="1"/>
  <c r="G56" i="14"/>
  <c r="G51" i="14"/>
  <c r="G52" i="14" s="1"/>
  <c r="H48" i="14"/>
  <c r="H12" i="14"/>
  <c r="H13" i="14" s="1"/>
  <c r="H14" i="14" s="1"/>
  <c r="E29" i="14" s="1"/>
  <c r="D30" i="14" s="1"/>
  <c r="I10" i="14"/>
  <c r="F14" i="14"/>
  <c r="D23" i="14" s="1"/>
  <c r="E24" i="14" s="1"/>
  <c r="K18" i="7"/>
  <c r="K20" i="7"/>
  <c r="K21" i="7" s="1"/>
  <c r="G36" i="7"/>
  <c r="G16" i="7"/>
  <c r="E255" i="10"/>
  <c r="C255" i="10"/>
  <c r="E135" i="10"/>
  <c r="B136" i="10" s="1"/>
  <c r="C136" i="10" s="1"/>
  <c r="C65" i="10"/>
  <c r="E65" i="10" s="1"/>
  <c r="B66" i="10" s="1"/>
  <c r="O6" i="9"/>
  <c r="P6" i="9" s="1"/>
  <c r="R6" i="9" s="1"/>
  <c r="S6" i="9" s="1"/>
  <c r="O7" i="9"/>
  <c r="P7" i="9" s="1"/>
  <c r="R7" i="9" s="1"/>
  <c r="S7" i="9" s="1"/>
  <c r="O6" i="8"/>
  <c r="P6" i="8" s="1"/>
  <c r="R6" i="8" s="1"/>
  <c r="S6" i="8" s="1"/>
  <c r="K7" i="8"/>
  <c r="O7" i="8" s="1"/>
  <c r="P7" i="8" s="1"/>
  <c r="R7" i="8" s="1"/>
  <c r="S7" i="8" s="1"/>
  <c r="O6" i="7"/>
  <c r="P6" i="7" s="1"/>
  <c r="R6" i="7" s="1"/>
  <c r="S6" i="7" s="1"/>
  <c r="K7" i="7"/>
  <c r="O7" i="7" s="1"/>
  <c r="P7" i="7" s="1"/>
  <c r="R7" i="7" s="1"/>
  <c r="S7" i="7" s="1"/>
  <c r="S103" i="3"/>
  <c r="P104" i="3" s="1"/>
  <c r="K104" i="3"/>
  <c r="J110" i="3" s="1"/>
  <c r="L110" i="3" s="1"/>
  <c r="H37" i="5"/>
  <c r="H23" i="5"/>
  <c r="M36" i="5"/>
  <c r="M23" i="5"/>
  <c r="L36" i="5"/>
  <c r="L23" i="5"/>
  <c r="I36" i="5"/>
  <c r="I23" i="5"/>
  <c r="O23" i="5"/>
  <c r="O27" i="5" s="1"/>
  <c r="O37" i="5"/>
  <c r="N37" i="5"/>
  <c r="N23" i="5"/>
  <c r="N27" i="5" s="1"/>
  <c r="K37" i="5"/>
  <c r="K23" i="5"/>
  <c r="P36" i="5"/>
  <c r="P27" i="5"/>
  <c r="I12" i="5"/>
  <c r="I13" i="5" s="1"/>
  <c r="J12" i="5"/>
  <c r="J13" i="5" s="1"/>
  <c r="K12" i="5"/>
  <c r="K13" i="5" s="1"/>
  <c r="M12" i="5"/>
  <c r="M13" i="5" s="1"/>
  <c r="N14" i="5" s="1"/>
  <c r="P12" i="5"/>
  <c r="P13" i="5" s="1"/>
  <c r="H12" i="5"/>
  <c r="H13" i="5" s="1"/>
  <c r="O12" i="5"/>
  <c r="O13" i="5" s="1"/>
  <c r="O14" i="5" s="1"/>
  <c r="L12" i="5"/>
  <c r="L13" i="5" s="1"/>
  <c r="G12" i="5"/>
  <c r="G13" i="5" s="1"/>
  <c r="G14" i="5" s="1"/>
  <c r="G29" i="5"/>
  <c r="G30" i="5" s="1"/>
  <c r="I37" i="5"/>
  <c r="H28" i="5"/>
  <c r="G41" i="5"/>
  <c r="G39" i="5"/>
  <c r="H27" i="5"/>
  <c r="G35" i="4"/>
  <c r="G41" i="4" s="1"/>
  <c r="G43" i="4" s="1"/>
  <c r="H37" i="4"/>
  <c r="H35" i="4"/>
  <c r="I33" i="4"/>
  <c r="I34" i="4"/>
  <c r="H38" i="4"/>
  <c r="G13" i="4"/>
  <c r="G14" i="4" s="1"/>
  <c r="H12" i="4"/>
  <c r="I8" i="4"/>
  <c r="I21" i="4" s="1"/>
  <c r="J7" i="4"/>
  <c r="J20" i="4" s="1"/>
  <c r="I11" i="4"/>
  <c r="P46" i="3"/>
  <c r="P48" i="3" s="1"/>
  <c r="Q45" i="3" s="1"/>
  <c r="H288" i="17" l="1"/>
  <c r="J288" i="17"/>
  <c r="G289" i="17" s="1"/>
  <c r="M22" i="19"/>
  <c r="J23" i="19" s="1"/>
  <c r="K22" i="19"/>
  <c r="H48" i="17"/>
  <c r="J48" i="17" s="1"/>
  <c r="G49" i="17" s="1"/>
  <c r="H44" i="18"/>
  <c r="J44" i="18"/>
  <c r="G45" i="18" s="1"/>
  <c r="G91" i="17"/>
  <c r="F93" i="17"/>
  <c r="U204" i="17"/>
  <c r="R205" i="17" s="1"/>
  <c r="S205" i="17" s="1"/>
  <c r="G214" i="17"/>
  <c r="U169" i="17"/>
  <c r="R170" i="17" s="1"/>
  <c r="S170" i="17" s="1"/>
  <c r="H177" i="17" s="1"/>
  <c r="G180" i="17"/>
  <c r="K120" i="14"/>
  <c r="F20" i="14"/>
  <c r="F70" i="14"/>
  <c r="E83" i="14" s="1"/>
  <c r="D82" i="14" s="1"/>
  <c r="F82" i="14" s="1"/>
  <c r="G67" i="14"/>
  <c r="G70" i="14" s="1"/>
  <c r="K68" i="14"/>
  <c r="J70" i="14"/>
  <c r="G55" i="14"/>
  <c r="F57" i="14"/>
  <c r="F59" i="14" s="1"/>
  <c r="F60" i="14" s="1"/>
  <c r="F61" i="14" s="1"/>
  <c r="I50" i="14"/>
  <c r="F23" i="14"/>
  <c r="F26" i="14" s="1"/>
  <c r="F29" i="14" s="1"/>
  <c r="I48" i="14"/>
  <c r="H56" i="14"/>
  <c r="H51" i="14"/>
  <c r="H52" i="14" s="1"/>
  <c r="I12" i="14"/>
  <c r="I13" i="14" s="1"/>
  <c r="I14" i="14" s="1"/>
  <c r="E32" i="14" s="1"/>
  <c r="D33" i="14" s="1"/>
  <c r="J10" i="14"/>
  <c r="G18" i="7"/>
  <c r="G20" i="7"/>
  <c r="G21" i="7" s="1"/>
  <c r="E136" i="10"/>
  <c r="B137" i="10" s="1"/>
  <c r="C137" i="10" s="1"/>
  <c r="C66" i="10"/>
  <c r="E66" i="10" s="1"/>
  <c r="B67" i="10" s="1"/>
  <c r="Q104" i="3"/>
  <c r="P110" i="3" s="1"/>
  <c r="R110" i="3" s="1"/>
  <c r="S104" i="3"/>
  <c r="P105" i="3" s="1"/>
  <c r="M104" i="3"/>
  <c r="J105" i="3" s="1"/>
  <c r="K105" i="3" s="1"/>
  <c r="J111" i="3" s="1"/>
  <c r="L111" i="3" s="1"/>
  <c r="L14" i="5"/>
  <c r="P14" i="5"/>
  <c r="J14" i="5"/>
  <c r="M14" i="5"/>
  <c r="H14" i="5"/>
  <c r="K14" i="5"/>
  <c r="I14" i="5"/>
  <c r="J37" i="5"/>
  <c r="I28" i="5"/>
  <c r="H29" i="5"/>
  <c r="H30" i="5" s="1"/>
  <c r="I27" i="5"/>
  <c r="G44" i="5"/>
  <c r="G42" i="5"/>
  <c r="H41" i="5"/>
  <c r="H44" i="5" s="1"/>
  <c r="H39" i="5"/>
  <c r="I38" i="4"/>
  <c r="J34" i="4"/>
  <c r="J33" i="4"/>
  <c r="I37" i="4"/>
  <c r="I35" i="4"/>
  <c r="H39" i="4"/>
  <c r="H41" i="4" s="1"/>
  <c r="H43" i="4" s="1"/>
  <c r="G23" i="4"/>
  <c r="G55" i="4" s="1"/>
  <c r="G25" i="4"/>
  <c r="H13" i="4"/>
  <c r="H14" i="4" s="1"/>
  <c r="K7" i="4"/>
  <c r="K20" i="4" s="1"/>
  <c r="J11" i="4"/>
  <c r="J8" i="4"/>
  <c r="J21" i="4" s="1"/>
  <c r="I12" i="4"/>
  <c r="Q46" i="3"/>
  <c r="Q48" i="3" s="1"/>
  <c r="R45" i="3" s="1"/>
  <c r="H289" i="17" l="1"/>
  <c r="J289" i="17"/>
  <c r="G290" i="17" s="1"/>
  <c r="K23" i="19"/>
  <c r="M23" i="19"/>
  <c r="H49" i="17"/>
  <c r="G82" i="17" s="1"/>
  <c r="J49" i="17"/>
  <c r="G50" i="17" s="1"/>
  <c r="F82" i="17"/>
  <c r="H45" i="18"/>
  <c r="J45" i="18" s="1"/>
  <c r="G46" i="18" s="1"/>
  <c r="H91" i="17"/>
  <c r="G93" i="17"/>
  <c r="F79" i="17"/>
  <c r="F83" i="17" s="1"/>
  <c r="G217" i="17"/>
  <c r="H214" i="17"/>
  <c r="U205" i="17"/>
  <c r="R206" i="17" s="1"/>
  <c r="U170" i="17"/>
  <c r="R171" i="17" s="1"/>
  <c r="L120" i="14"/>
  <c r="M120" i="14"/>
  <c r="L68" i="14"/>
  <c r="K70" i="14"/>
  <c r="H55" i="14"/>
  <c r="G57" i="14"/>
  <c r="G59" i="14" s="1"/>
  <c r="G60" i="14" s="1"/>
  <c r="G61" i="14" s="1"/>
  <c r="J50" i="14"/>
  <c r="F32" i="14"/>
  <c r="I51" i="14"/>
  <c r="I52" i="14" s="1"/>
  <c r="I56" i="14"/>
  <c r="J48" i="14"/>
  <c r="K10" i="14"/>
  <c r="J12" i="14"/>
  <c r="J13" i="14" s="1"/>
  <c r="J14" i="14" s="1"/>
  <c r="E35" i="14" s="1"/>
  <c r="D36" i="14" s="1"/>
  <c r="E137" i="10"/>
  <c r="B138" i="10" s="1"/>
  <c r="C138" i="10" s="1"/>
  <c r="C67" i="10"/>
  <c r="E67" i="10" s="1"/>
  <c r="B68" i="10" s="1"/>
  <c r="Q105" i="3"/>
  <c r="P111" i="3" s="1"/>
  <c r="R111" i="3" s="1"/>
  <c r="M105" i="3"/>
  <c r="J106" i="3" s="1"/>
  <c r="K106" i="3" s="1"/>
  <c r="J112" i="3" s="1"/>
  <c r="L112" i="3" s="1"/>
  <c r="L113" i="3" s="1"/>
  <c r="G57" i="4"/>
  <c r="G59" i="4" s="1"/>
  <c r="I29" i="5"/>
  <c r="I30" i="5" s="1"/>
  <c r="J28" i="5"/>
  <c r="I41" i="5"/>
  <c r="I44" i="5" s="1"/>
  <c r="I39" i="5"/>
  <c r="J27" i="5"/>
  <c r="H42" i="5"/>
  <c r="G45" i="5"/>
  <c r="I39" i="4"/>
  <c r="K34" i="4"/>
  <c r="I41" i="4"/>
  <c r="I43" i="4" s="1"/>
  <c r="K33" i="4"/>
  <c r="J35" i="4"/>
  <c r="J37" i="4"/>
  <c r="J38" i="4"/>
  <c r="G26" i="4"/>
  <c r="G29" i="4" s="1"/>
  <c r="G28" i="4"/>
  <c r="H23" i="4"/>
  <c r="H55" i="4" s="1"/>
  <c r="H57" i="4" s="1"/>
  <c r="H25" i="4"/>
  <c r="H28" i="4" s="1"/>
  <c r="I13" i="4"/>
  <c r="I14" i="4" s="1"/>
  <c r="K8" i="4"/>
  <c r="K21" i="4" s="1"/>
  <c r="J12" i="4"/>
  <c r="L7" i="4"/>
  <c r="L20" i="4" s="1"/>
  <c r="K11" i="4"/>
  <c r="R46" i="3"/>
  <c r="R48" i="3" s="1"/>
  <c r="S45" i="3" s="1"/>
  <c r="H290" i="17" l="1"/>
  <c r="J290" i="17" s="1"/>
  <c r="G291" i="17" s="1"/>
  <c r="H50" i="17"/>
  <c r="J50" i="17" s="1"/>
  <c r="G51" i="17" s="1"/>
  <c r="H46" i="18"/>
  <c r="J46" i="18"/>
  <c r="G47" i="18" s="1"/>
  <c r="H47" i="18" s="1"/>
  <c r="J47" i="18" s="1"/>
  <c r="G48" i="18" s="1"/>
  <c r="H48" i="18" s="1"/>
  <c r="J48" i="18" s="1"/>
  <c r="G49" i="18" s="1"/>
  <c r="H49" i="18"/>
  <c r="J49" i="18"/>
  <c r="G50" i="18" s="1"/>
  <c r="G79" i="17"/>
  <c r="G83" i="17" s="1"/>
  <c r="I91" i="17"/>
  <c r="H93" i="17"/>
  <c r="S206" i="17"/>
  <c r="U206" i="17" s="1"/>
  <c r="R207" i="17" s="1"/>
  <c r="S171" i="17"/>
  <c r="I177" i="17" s="1"/>
  <c r="H180" i="17" s="1"/>
  <c r="M68" i="14"/>
  <c r="M70" i="14" s="1"/>
  <c r="L70" i="14"/>
  <c r="I55" i="14"/>
  <c r="H57" i="14"/>
  <c r="H59" i="14" s="1"/>
  <c r="H60" i="14" s="1"/>
  <c r="H61" i="14" s="1"/>
  <c r="K50" i="14"/>
  <c r="F35" i="14"/>
  <c r="K48" i="14"/>
  <c r="J56" i="14"/>
  <c r="J51" i="14"/>
  <c r="J52" i="14" s="1"/>
  <c r="L10" i="14"/>
  <c r="K12" i="14"/>
  <c r="K13" i="14" s="1"/>
  <c r="K14" i="14" s="1"/>
  <c r="E38" i="14" s="1"/>
  <c r="D39" i="14" s="1"/>
  <c r="E138" i="10"/>
  <c r="B139" i="10" s="1"/>
  <c r="C139" i="10" s="1"/>
  <c r="C68" i="10"/>
  <c r="E68" i="10" s="1"/>
  <c r="B69" i="10" s="1"/>
  <c r="S105" i="3"/>
  <c r="P106" i="3" s="1"/>
  <c r="M106" i="3"/>
  <c r="G61" i="4"/>
  <c r="K28" i="5"/>
  <c r="L28" i="5"/>
  <c r="J29" i="5"/>
  <c r="J30" i="5" s="1"/>
  <c r="J41" i="5"/>
  <c r="J44" i="5" s="1"/>
  <c r="J39" i="5"/>
  <c r="I42" i="5"/>
  <c r="H45" i="5"/>
  <c r="K27" i="5"/>
  <c r="H59" i="4"/>
  <c r="H61" i="4"/>
  <c r="L34" i="4"/>
  <c r="L33" i="4"/>
  <c r="K35" i="4"/>
  <c r="K37" i="4"/>
  <c r="K38" i="4"/>
  <c r="J39" i="4"/>
  <c r="J41" i="4" s="1"/>
  <c r="J43" i="4" s="1"/>
  <c r="H26" i="4"/>
  <c r="H29" i="4" s="1"/>
  <c r="I23" i="4"/>
  <c r="I55" i="4" s="1"/>
  <c r="I57" i="4" s="1"/>
  <c r="I25" i="4"/>
  <c r="J13" i="4"/>
  <c r="J14" i="4" s="1"/>
  <c r="L8" i="4"/>
  <c r="L21" i="4" s="1"/>
  <c r="K12" i="4"/>
  <c r="K23" i="4" s="1"/>
  <c r="K55" i="4" s="1"/>
  <c r="K57" i="4" s="1"/>
  <c r="M7" i="4"/>
  <c r="L11" i="4"/>
  <c r="S46" i="3"/>
  <c r="S48" i="3" s="1"/>
  <c r="T45" i="3" s="1"/>
  <c r="H291" i="17" l="1"/>
  <c r="J291" i="17" s="1"/>
  <c r="G292" i="17" s="1"/>
  <c r="H51" i="17"/>
  <c r="I82" i="17" s="1"/>
  <c r="J51" i="17"/>
  <c r="G52" i="17" s="1"/>
  <c r="H82" i="17"/>
  <c r="H50" i="18"/>
  <c r="J50" i="18" s="1"/>
  <c r="G51" i="18" s="1"/>
  <c r="J91" i="17"/>
  <c r="I93" i="17"/>
  <c r="H79" i="17"/>
  <c r="H83" i="17" s="1"/>
  <c r="H217" i="17"/>
  <c r="I214" i="17"/>
  <c r="S207" i="17"/>
  <c r="I180" i="17"/>
  <c r="U171" i="17"/>
  <c r="R172" i="17" s="1"/>
  <c r="S172" i="17" s="1"/>
  <c r="J55" i="14"/>
  <c r="I57" i="14"/>
  <c r="I59" i="14" s="1"/>
  <c r="I60" i="14" s="1"/>
  <c r="I61" i="14" s="1"/>
  <c r="L50" i="14"/>
  <c r="F38" i="14"/>
  <c r="K51" i="14"/>
  <c r="K52" i="14" s="1"/>
  <c r="L48" i="14"/>
  <c r="K56" i="14"/>
  <c r="M10" i="14"/>
  <c r="M12" i="14" s="1"/>
  <c r="M13" i="14" s="1"/>
  <c r="L12" i="14"/>
  <c r="L13" i="14" s="1"/>
  <c r="L14" i="14" s="1"/>
  <c r="E41" i="14" s="1"/>
  <c r="D42" i="14" s="1"/>
  <c r="E139" i="10"/>
  <c r="B140" i="10" s="1"/>
  <c r="C140" i="10" s="1"/>
  <c r="C69" i="10"/>
  <c r="E69" i="10" s="1"/>
  <c r="B70" i="10" s="1"/>
  <c r="C70" i="10" s="1"/>
  <c r="E70" i="10" s="1"/>
  <c r="B71" i="10" s="1"/>
  <c r="Q106" i="3"/>
  <c r="P112" i="3" s="1"/>
  <c r="R112" i="3" s="1"/>
  <c r="R113" i="3" s="1"/>
  <c r="L37" i="5"/>
  <c r="M37" i="5"/>
  <c r="K29" i="5"/>
  <c r="K30" i="5" s="1"/>
  <c r="L27" i="5"/>
  <c r="L29" i="5" s="1"/>
  <c r="I45" i="5"/>
  <c r="J42" i="5"/>
  <c r="K41" i="5"/>
  <c r="K44" i="5" s="1"/>
  <c r="K39" i="5"/>
  <c r="K59" i="4"/>
  <c r="K61" i="4"/>
  <c r="I59" i="4"/>
  <c r="I61" i="4"/>
  <c r="M33" i="4"/>
  <c r="L37" i="4"/>
  <c r="L35" i="4"/>
  <c r="M34" i="4"/>
  <c r="N34" i="4" s="1"/>
  <c r="O34" i="4" s="1"/>
  <c r="P34" i="4" s="1"/>
  <c r="L38" i="4"/>
  <c r="K39" i="4"/>
  <c r="K41" i="4" s="1"/>
  <c r="K43" i="4" s="1"/>
  <c r="M11" i="4"/>
  <c r="M20" i="4"/>
  <c r="I26" i="4"/>
  <c r="I29" i="4" s="1"/>
  <c r="I28" i="4"/>
  <c r="J23" i="4"/>
  <c r="J55" i="4" s="1"/>
  <c r="J57" i="4" s="1"/>
  <c r="J25" i="4"/>
  <c r="K13" i="4"/>
  <c r="K14" i="4" s="1"/>
  <c r="K25" i="4"/>
  <c r="K28" i="4" s="1"/>
  <c r="M8" i="4"/>
  <c r="M21" i="4" s="1"/>
  <c r="L12" i="4"/>
  <c r="T46" i="3"/>
  <c r="T48" i="3" s="1"/>
  <c r="U45" i="3" s="1"/>
  <c r="H292" i="17" l="1"/>
  <c r="J292" i="17"/>
  <c r="G293" i="17" s="1"/>
  <c r="H52" i="17"/>
  <c r="J52" i="17" s="1"/>
  <c r="G53" i="17" s="1"/>
  <c r="H51" i="18"/>
  <c r="J51" i="18" s="1"/>
  <c r="G52" i="18" s="1"/>
  <c r="I79" i="17"/>
  <c r="I83" i="17" s="1"/>
  <c r="K91" i="17"/>
  <c r="J93" i="17"/>
  <c r="I217" i="17"/>
  <c r="J214" i="17"/>
  <c r="U207" i="17"/>
  <c r="R208" i="17" s="1"/>
  <c r="J177" i="17"/>
  <c r="J180" i="17" s="1"/>
  <c r="U172" i="17"/>
  <c r="R173" i="17" s="1"/>
  <c r="S173" i="17" s="1"/>
  <c r="K177" i="17" s="1"/>
  <c r="K180" i="17" s="1"/>
  <c r="K55" i="14"/>
  <c r="J57" i="14"/>
  <c r="J59" i="14" s="1"/>
  <c r="J60" i="14" s="1"/>
  <c r="J61" i="14" s="1"/>
  <c r="M50" i="14"/>
  <c r="F41" i="14"/>
  <c r="M48" i="14"/>
  <c r="M56" i="14" s="1"/>
  <c r="L56" i="14"/>
  <c r="L51" i="14"/>
  <c r="L52" i="14" s="1"/>
  <c r="M14" i="14"/>
  <c r="E44" i="14" s="1"/>
  <c r="D45" i="14" s="1"/>
  <c r="E140" i="10"/>
  <c r="B141" i="10" s="1"/>
  <c r="C141" i="10" s="1"/>
  <c r="C71" i="10"/>
  <c r="E71" i="10" s="1"/>
  <c r="B72" i="10" s="1"/>
  <c r="C72" i="10" s="1"/>
  <c r="E72" i="10" s="1"/>
  <c r="B73" i="10" s="1"/>
  <c r="S106" i="3"/>
  <c r="M28" i="5"/>
  <c r="L30" i="5"/>
  <c r="L41" i="5"/>
  <c r="L44" i="5" s="1"/>
  <c r="L39" i="5"/>
  <c r="M27" i="5"/>
  <c r="J45" i="5"/>
  <c r="K42" i="5"/>
  <c r="J59" i="4"/>
  <c r="J61" i="4"/>
  <c r="L39" i="4"/>
  <c r="L41" i="4" s="1"/>
  <c r="L43" i="4" s="1"/>
  <c r="N33" i="4"/>
  <c r="M37" i="4"/>
  <c r="M35" i="4"/>
  <c r="M38" i="4"/>
  <c r="J26" i="4"/>
  <c r="J29" i="4" s="1"/>
  <c r="J28" i="4"/>
  <c r="L13" i="4"/>
  <c r="L14" i="4" s="1"/>
  <c r="N8" i="4"/>
  <c r="N21" i="4" s="1"/>
  <c r="M12" i="4"/>
  <c r="U46" i="3"/>
  <c r="U48" i="3" s="1"/>
  <c r="V45" i="3" s="1"/>
  <c r="H293" i="17" l="1"/>
  <c r="J293" i="17" s="1"/>
  <c r="G294" i="17" s="1"/>
  <c r="H53" i="17"/>
  <c r="K82" i="17" s="1"/>
  <c r="J53" i="17"/>
  <c r="J82" i="17"/>
  <c r="H52" i="18"/>
  <c r="J52" i="18" s="1"/>
  <c r="G53" i="18" s="1"/>
  <c r="L91" i="17"/>
  <c r="K93" i="17"/>
  <c r="J79" i="17"/>
  <c r="J83" i="17" s="1"/>
  <c r="U173" i="17"/>
  <c r="R174" i="17" s="1"/>
  <c r="S174" i="17" s="1"/>
  <c r="L177" i="17" s="1"/>
  <c r="L180" i="17" s="1"/>
  <c r="S208" i="17"/>
  <c r="G54" i="17"/>
  <c r="L55" i="14"/>
  <c r="K57" i="14"/>
  <c r="K59" i="14" s="1"/>
  <c r="K60" i="14" s="1"/>
  <c r="K61" i="14" s="1"/>
  <c r="F44" i="14"/>
  <c r="M51" i="14"/>
  <c r="E141" i="10"/>
  <c r="B142" i="10" s="1"/>
  <c r="C142" i="10" s="1"/>
  <c r="C73" i="10"/>
  <c r="E73" i="10" s="1"/>
  <c r="B74" i="10" s="1"/>
  <c r="C74" i="10" s="1"/>
  <c r="E74" i="10" s="1"/>
  <c r="B75" i="10" s="1"/>
  <c r="O28" i="5"/>
  <c r="O29" i="5" s="1"/>
  <c r="N28" i="5"/>
  <c r="N29" i="5" s="1"/>
  <c r="M29" i="5"/>
  <c r="M30" i="5" s="1"/>
  <c r="M39" i="5"/>
  <c r="M41" i="5"/>
  <c r="M44" i="5" s="1"/>
  <c r="N39" i="5"/>
  <c r="N41" i="5"/>
  <c r="N44" i="5" s="1"/>
  <c r="K45" i="5"/>
  <c r="L42" i="5"/>
  <c r="M39" i="4"/>
  <c r="M41" i="4" s="1"/>
  <c r="M43" i="4" s="1"/>
  <c r="N38" i="4"/>
  <c r="K26" i="4"/>
  <c r="K29" i="4" s="1"/>
  <c r="O33" i="4"/>
  <c r="N37" i="4"/>
  <c r="N35" i="4"/>
  <c r="L23" i="4"/>
  <c r="L55" i="4" s="1"/>
  <c r="L25" i="4"/>
  <c r="M13" i="4"/>
  <c r="M14" i="4" s="1"/>
  <c r="O8" i="4"/>
  <c r="O21" i="4" s="1"/>
  <c r="N12" i="4"/>
  <c r="V46" i="3"/>
  <c r="V48" i="3" s="1"/>
  <c r="W45" i="3" s="1"/>
  <c r="H294" i="17" l="1"/>
  <c r="J294" i="17" s="1"/>
  <c r="G295" i="17" s="1"/>
  <c r="H54" i="17"/>
  <c r="J54" i="17" s="1"/>
  <c r="G55" i="17" s="1"/>
  <c r="H53" i="18"/>
  <c r="J53" i="18" s="1"/>
  <c r="G54" i="18" s="1"/>
  <c r="K79" i="17"/>
  <c r="K83" i="17" s="1"/>
  <c r="M91" i="17"/>
  <c r="L93" i="17"/>
  <c r="U174" i="17"/>
  <c r="R175" i="17" s="1"/>
  <c r="S175" i="17" s="1"/>
  <c r="U175" i="17" s="1"/>
  <c r="R176" i="17" s="1"/>
  <c r="S176" i="17" s="1"/>
  <c r="J217" i="17"/>
  <c r="K214" i="17"/>
  <c r="U208" i="17"/>
  <c r="R209" i="17" s="1"/>
  <c r="U176" i="17"/>
  <c r="N177" i="17"/>
  <c r="N180" i="17" s="1"/>
  <c r="M55" i="14"/>
  <c r="M57" i="14" s="1"/>
  <c r="L57" i="14"/>
  <c r="L59" i="14" s="1"/>
  <c r="L60" i="14" s="1"/>
  <c r="L61" i="14" s="1"/>
  <c r="M52" i="14"/>
  <c r="E142" i="10"/>
  <c r="B143" i="10" s="1"/>
  <c r="C143" i="10" s="1"/>
  <c r="C75" i="10"/>
  <c r="E75" i="10" s="1"/>
  <c r="B76" i="10" s="1"/>
  <c r="C76" i="10" s="1"/>
  <c r="L57" i="4"/>
  <c r="N39" i="4"/>
  <c r="P37" i="5"/>
  <c r="N30" i="5"/>
  <c r="O30" i="5" s="1"/>
  <c r="O41" i="5"/>
  <c r="O44" i="5" s="1"/>
  <c r="O39" i="5"/>
  <c r="L45" i="5"/>
  <c r="M42" i="5"/>
  <c r="L59" i="4"/>
  <c r="L61" i="4"/>
  <c r="N41" i="4"/>
  <c r="N43" i="4" s="1"/>
  <c r="P33" i="4"/>
  <c r="O37" i="4"/>
  <c r="O35" i="4"/>
  <c r="O38" i="4"/>
  <c r="L26" i="4"/>
  <c r="L29" i="4" s="1"/>
  <c r="L28" i="4"/>
  <c r="M23" i="4"/>
  <c r="M55" i="4" s="1"/>
  <c r="M57" i="4" s="1"/>
  <c r="M25" i="4"/>
  <c r="N13" i="4"/>
  <c r="N14" i="4" s="1"/>
  <c r="P8" i="4"/>
  <c r="O12" i="4"/>
  <c r="W46" i="3"/>
  <c r="W48" i="3" s="1"/>
  <c r="X45" i="3" s="1"/>
  <c r="H295" i="17" l="1"/>
  <c r="J295" i="17" s="1"/>
  <c r="G296" i="17" s="1"/>
  <c r="H55" i="17"/>
  <c r="M82" i="17" s="1"/>
  <c r="J55" i="17"/>
  <c r="L82" i="17"/>
  <c r="H54" i="18"/>
  <c r="J54" i="18" s="1"/>
  <c r="G55" i="18" s="1"/>
  <c r="M177" i="17"/>
  <c r="M180" i="17" s="1"/>
  <c r="N91" i="17"/>
  <c r="N93" i="17" s="1"/>
  <c r="M93" i="17"/>
  <c r="L79" i="17"/>
  <c r="L83" i="17" s="1"/>
  <c r="S209" i="17"/>
  <c r="O180" i="17"/>
  <c r="G56" i="17"/>
  <c r="M59" i="14"/>
  <c r="M60" i="14" s="1"/>
  <c r="M61" i="14" s="1"/>
  <c r="E143" i="10"/>
  <c r="B144" i="10" s="1"/>
  <c r="C144" i="10" s="1"/>
  <c r="E76" i="10"/>
  <c r="B77" i="10" s="1"/>
  <c r="C77" i="10" s="1"/>
  <c r="P28" i="5"/>
  <c r="P29" i="5" s="1"/>
  <c r="P30" i="5" s="1"/>
  <c r="P39" i="5"/>
  <c r="P41" i="5"/>
  <c r="P44" i="5" s="1"/>
  <c r="M45" i="5"/>
  <c r="N42" i="5"/>
  <c r="M59" i="4"/>
  <c r="M61" i="4"/>
  <c r="O39" i="4"/>
  <c r="O41" i="4" s="1"/>
  <c r="O43" i="4" s="1"/>
  <c r="P38" i="4"/>
  <c r="P37" i="4"/>
  <c r="P39" i="4" s="1"/>
  <c r="P35" i="4"/>
  <c r="P12" i="4"/>
  <c r="P13" i="4" s="1"/>
  <c r="P21" i="4"/>
  <c r="Q21" i="4" s="1"/>
  <c r="M26" i="4"/>
  <c r="M29" i="4" s="1"/>
  <c r="M28" i="4"/>
  <c r="N23" i="4"/>
  <c r="N55" i="4" s="1"/>
  <c r="N57" i="4" s="1"/>
  <c r="N25" i="4"/>
  <c r="O13" i="4"/>
  <c r="O14" i="4" s="1"/>
  <c r="X46" i="3"/>
  <c r="X48" i="3" s="1"/>
  <c r="Y45" i="3" s="1"/>
  <c r="Y46" i="3" s="1"/>
  <c r="Y48" i="3" s="1"/>
  <c r="Z45" i="3" s="1"/>
  <c r="Z46" i="3" s="1"/>
  <c r="Z48" i="3" s="1"/>
  <c r="AA45" i="3" s="1"/>
  <c r="AA46" i="3" s="1"/>
  <c r="AA48" i="3" s="1"/>
  <c r="AB45" i="3" s="1"/>
  <c r="H296" i="17" l="1"/>
  <c r="J296" i="17"/>
  <c r="G297" i="17" s="1"/>
  <c r="H56" i="17"/>
  <c r="J56" i="17"/>
  <c r="H55" i="18"/>
  <c r="J55" i="18"/>
  <c r="G56" i="18" s="1"/>
  <c r="O93" i="17"/>
  <c r="M79" i="17"/>
  <c r="M83" i="17" s="1"/>
  <c r="K217" i="17"/>
  <c r="L214" i="17"/>
  <c r="U209" i="17"/>
  <c r="R210" i="17" s="1"/>
  <c r="E144" i="10"/>
  <c r="B145" i="10" s="1"/>
  <c r="C145" i="10" s="1"/>
  <c r="E77" i="10"/>
  <c r="B78" i="10" s="1"/>
  <c r="C78" i="10" s="1"/>
  <c r="E78" i="10" s="1"/>
  <c r="B79" i="10" s="1"/>
  <c r="O42" i="5"/>
  <c r="N45" i="5"/>
  <c r="N59" i="4"/>
  <c r="N61" i="4"/>
  <c r="P41" i="4"/>
  <c r="P43" i="4" s="1"/>
  <c r="N26" i="4"/>
  <c r="N29" i="4" s="1"/>
  <c r="N28" i="4"/>
  <c r="O23" i="4"/>
  <c r="O55" i="4" s="1"/>
  <c r="O57" i="4" s="1"/>
  <c r="O25" i="4"/>
  <c r="P23" i="4"/>
  <c r="P55" i="4" s="1"/>
  <c r="P25" i="4"/>
  <c r="P28" i="4" s="1"/>
  <c r="P14" i="4"/>
  <c r="AB46" i="3"/>
  <c r="AB48" i="3" s="1"/>
  <c r="AC45" i="3" s="1"/>
  <c r="H297" i="17" l="1"/>
  <c r="J297" i="17" s="1"/>
  <c r="G298" i="17" s="1"/>
  <c r="N82" i="17"/>
  <c r="N49" i="17"/>
  <c r="H56" i="18"/>
  <c r="J56" i="18" s="1"/>
  <c r="G57" i="18" s="1"/>
  <c r="N79" i="17"/>
  <c r="N83" i="17" s="1"/>
  <c r="S210" i="17"/>
  <c r="U210" i="17" s="1"/>
  <c r="R211" i="17" s="1"/>
  <c r="E145" i="10"/>
  <c r="B146" i="10" s="1"/>
  <c r="C146" i="10" s="1"/>
  <c r="C79" i="10"/>
  <c r="E79" i="10" s="1"/>
  <c r="B80" i="10" s="1"/>
  <c r="P57" i="4"/>
  <c r="R55" i="4"/>
  <c r="R56" i="4" s="1"/>
  <c r="P42" i="5"/>
  <c r="P45" i="5" s="1"/>
  <c r="O45" i="5"/>
  <c r="P59" i="4"/>
  <c r="P61" i="4"/>
  <c r="O59" i="4"/>
  <c r="O61" i="4"/>
  <c r="O26" i="4"/>
  <c r="O29" i="4" s="1"/>
  <c r="O28" i="4"/>
  <c r="AC46" i="3"/>
  <c r="AC48" i="3" s="1"/>
  <c r="AD45" i="3" s="1"/>
  <c r="H298" i="17" l="1"/>
  <c r="J298" i="17"/>
  <c r="G299" i="17" s="1"/>
  <c r="O50" i="17"/>
  <c r="O55" i="17"/>
  <c r="H57" i="18"/>
  <c r="J57" i="18" s="1"/>
  <c r="G58" i="18" s="1"/>
  <c r="O83" i="17"/>
  <c r="O95" i="17" s="1"/>
  <c r="L217" i="17"/>
  <c r="M214" i="17"/>
  <c r="S211" i="17"/>
  <c r="E146" i="10"/>
  <c r="B147" i="10" s="1"/>
  <c r="C147" i="10" s="1"/>
  <c r="C80" i="10"/>
  <c r="E80" i="10" s="1"/>
  <c r="B81" i="10" s="1"/>
  <c r="P26" i="4"/>
  <c r="P29" i="4" s="1"/>
  <c r="AD46" i="3"/>
  <c r="AD48" i="3" s="1"/>
  <c r="AE45" i="3" s="1"/>
  <c r="H299" i="17" l="1"/>
  <c r="J299" i="17" s="1"/>
  <c r="G300" i="17" s="1"/>
  <c r="H58" i="18"/>
  <c r="J58" i="18"/>
  <c r="G59" i="18" s="1"/>
  <c r="M217" i="17"/>
  <c r="N214" i="17"/>
  <c r="N217" i="17" s="1"/>
  <c r="U211" i="17"/>
  <c r="E147" i="10"/>
  <c r="B148" i="10" s="1"/>
  <c r="C148" i="10" s="1"/>
  <c r="C81" i="10"/>
  <c r="E81" i="10" s="1"/>
  <c r="B82" i="10" s="1"/>
  <c r="AE46" i="3"/>
  <c r="AE48" i="3" s="1"/>
  <c r="AF45" i="3" s="1"/>
  <c r="AF46" i="3" s="1"/>
  <c r="AF48" i="3" s="1"/>
  <c r="AG45" i="3" s="1"/>
  <c r="AG46" i="3" s="1"/>
  <c r="AG48" i="3" s="1"/>
  <c r="AH45" i="3" s="1"/>
  <c r="AH46" i="3" s="1"/>
  <c r="AH48" i="3" s="1"/>
  <c r="H300" i="17" l="1"/>
  <c r="J300" i="17"/>
  <c r="G301" i="17" s="1"/>
  <c r="H59" i="18"/>
  <c r="J59" i="18" s="1"/>
  <c r="G60" i="18" s="1"/>
  <c r="O217" i="17"/>
  <c r="E148" i="10"/>
  <c r="B149" i="10" s="1"/>
  <c r="C149" i="10" s="1"/>
  <c r="C82" i="10"/>
  <c r="E82" i="10" s="1"/>
  <c r="B83" i="10" s="1"/>
  <c r="H301" i="17" l="1"/>
  <c r="J301" i="17"/>
  <c r="G302" i="17" s="1"/>
  <c r="H60" i="18"/>
  <c r="J60" i="18" s="1"/>
  <c r="G61" i="18" s="1"/>
  <c r="E149" i="10"/>
  <c r="B150" i="10" s="1"/>
  <c r="C150" i="10" s="1"/>
  <c r="C83" i="10"/>
  <c r="E83" i="10" s="1"/>
  <c r="B84" i="10" s="1"/>
  <c r="H302" i="17" l="1"/>
  <c r="J302" i="17" s="1"/>
  <c r="G303" i="17" s="1"/>
  <c r="H61" i="18"/>
  <c r="J61" i="18"/>
  <c r="G62" i="18" s="1"/>
  <c r="E150" i="10"/>
  <c r="B151" i="10" s="1"/>
  <c r="C151" i="10" s="1"/>
  <c r="C84" i="10"/>
  <c r="E84" i="10" s="1"/>
  <c r="B85" i="10" s="1"/>
  <c r="H303" i="17" l="1"/>
  <c r="J303" i="17"/>
  <c r="G304" i="17" s="1"/>
  <c r="H62" i="18"/>
  <c r="J62" i="18" s="1"/>
  <c r="G63" i="18" s="1"/>
  <c r="E151" i="10"/>
  <c r="B152" i="10" s="1"/>
  <c r="C152" i="10" s="1"/>
  <c r="C85" i="10"/>
  <c r="E85" i="10" s="1"/>
  <c r="B86" i="10" s="1"/>
  <c r="H304" i="17" l="1"/>
  <c r="J304" i="17"/>
  <c r="G305" i="17" s="1"/>
  <c r="H63" i="18"/>
  <c r="J63" i="18" s="1"/>
  <c r="E152" i="10"/>
  <c r="B153" i="10" s="1"/>
  <c r="C153" i="10" s="1"/>
  <c r="C86" i="10"/>
  <c r="E86" i="10" s="1"/>
  <c r="H305" i="17" l="1"/>
  <c r="J305" i="17"/>
  <c r="G306" i="17" s="1"/>
  <c r="E153" i="10"/>
  <c r="B154" i="10" s="1"/>
  <c r="C154" i="10" s="1"/>
  <c r="H306" i="17" l="1"/>
  <c r="J306" i="17"/>
  <c r="G307" i="17" s="1"/>
  <c r="E154" i="10"/>
  <c r="B155" i="10" s="1"/>
  <c r="C155" i="10" s="1"/>
  <c r="H307" i="17" l="1"/>
  <c r="J307" i="17"/>
  <c r="G308" i="17" s="1"/>
  <c r="E155" i="10"/>
  <c r="B156" i="10" s="1"/>
  <c r="C156" i="10" s="1"/>
  <c r="E156" i="10" s="1"/>
  <c r="B157" i="10" s="1"/>
  <c r="C157" i="10" s="1"/>
  <c r="H308" i="17" l="1"/>
  <c r="J308" i="17" s="1"/>
  <c r="G309" i="17" s="1"/>
  <c r="E157" i="10"/>
  <c r="B158" i="10" s="1"/>
  <c r="C158" i="10" s="1"/>
  <c r="H309" i="17" l="1"/>
  <c r="J309" i="17" s="1"/>
  <c r="G310" i="17" s="1"/>
  <c r="E158" i="10"/>
  <c r="H310" i="17" l="1"/>
  <c r="J310" i="17"/>
  <c r="G311" i="17" s="1"/>
  <c r="H311" i="17" l="1"/>
  <c r="J311" i="17" s="1"/>
  <c r="G312" i="17" s="1"/>
  <c r="H312" i="17" l="1"/>
  <c r="J312" i="17"/>
  <c r="G313" i="17" s="1"/>
  <c r="H313" i="17" l="1"/>
  <c r="J313" i="17"/>
  <c r="G314" i="17" s="1"/>
  <c r="H314" i="17" l="1"/>
  <c r="J314" i="17"/>
  <c r="G315" i="17" s="1"/>
  <c r="H315" i="17" l="1"/>
  <c r="J315" i="17" s="1"/>
  <c r="G316" i="17" s="1"/>
  <c r="H316" i="17" l="1"/>
  <c r="J316" i="17" s="1"/>
  <c r="G317" i="17" s="1"/>
  <c r="H317" i="17" l="1"/>
  <c r="J317" i="17" s="1"/>
  <c r="G318" i="17" s="1"/>
  <c r="H318" i="17" l="1"/>
  <c r="J318" i="17" s="1"/>
  <c r="G319" i="17" s="1"/>
  <c r="H319" i="17" l="1"/>
  <c r="J319" i="17"/>
  <c r="G320" i="17" s="1"/>
  <c r="H320" i="17" l="1"/>
  <c r="J320" i="17"/>
  <c r="G321" i="17" s="1"/>
  <c r="H321" i="17" l="1"/>
  <c r="J321" i="17" s="1"/>
  <c r="G322" i="17" s="1"/>
  <c r="H322" i="17" l="1"/>
  <c r="J322" i="17"/>
  <c r="G323" i="17" s="1"/>
  <c r="H323" i="17" l="1"/>
  <c r="J323" i="17" s="1"/>
  <c r="G324" i="17" s="1"/>
  <c r="H324" i="17" l="1"/>
  <c r="J324" i="17" s="1"/>
  <c r="G325" i="17" s="1"/>
  <c r="H325" i="17" l="1"/>
  <c r="J325" i="17"/>
  <c r="G326" i="17" s="1"/>
  <c r="H326" i="17" l="1"/>
  <c r="J326" i="17"/>
  <c r="G327" i="17" s="1"/>
  <c r="H327" i="17" l="1"/>
  <c r="J327" i="17"/>
  <c r="G328" i="17" s="1"/>
  <c r="H328" i="17" l="1"/>
  <c r="J328" i="17"/>
  <c r="G329" i="17" s="1"/>
  <c r="H329" i="17" l="1"/>
  <c r="J329" i="17" s="1"/>
  <c r="G330" i="17" s="1"/>
  <c r="H330" i="17" l="1"/>
  <c r="J330" i="17" s="1"/>
  <c r="G331" i="17" s="1"/>
  <c r="H331" i="17" l="1"/>
  <c r="J331" i="17" s="1"/>
  <c r="G332" i="17" s="1"/>
  <c r="H332" i="17" l="1"/>
  <c r="J332" i="17" s="1"/>
  <c r="G333" i="17" s="1"/>
  <c r="H333" i="17" l="1"/>
  <c r="J333" i="17" s="1"/>
  <c r="G334" i="17" s="1"/>
  <c r="H334" i="17" l="1"/>
  <c r="J334" i="17"/>
  <c r="G335" i="17" s="1"/>
  <c r="H335" i="17" l="1"/>
  <c r="J335" i="17" s="1"/>
  <c r="G336" i="17" s="1"/>
  <c r="H336" i="17" l="1"/>
  <c r="J336" i="17"/>
  <c r="G337" i="17" s="1"/>
  <c r="H337" i="17" l="1"/>
  <c r="J337" i="17"/>
  <c r="G338" i="17" s="1"/>
  <c r="H338" i="17" l="1"/>
  <c r="J338" i="17"/>
  <c r="G339" i="17" s="1"/>
  <c r="H339" i="17" l="1"/>
  <c r="J339" i="17" s="1"/>
  <c r="G340" i="17" s="1"/>
  <c r="H340" i="17" l="1"/>
  <c r="J340" i="17"/>
  <c r="G341" i="17" s="1"/>
  <c r="H341" i="17" l="1"/>
  <c r="J341" i="17"/>
  <c r="G342" i="17" s="1"/>
  <c r="H342" i="17" l="1"/>
  <c r="J342" i="17" s="1"/>
  <c r="G343" i="17" s="1"/>
  <c r="H343" i="17" l="1"/>
  <c r="J343" i="17"/>
  <c r="G344" i="17" s="1"/>
  <c r="H344" i="17" l="1"/>
  <c r="J344" i="17" s="1"/>
  <c r="G345" i="17" s="1"/>
  <c r="H345" i="17" l="1"/>
  <c r="J345" i="17" s="1"/>
  <c r="G346" i="17" s="1"/>
  <c r="H346" i="17" l="1"/>
  <c r="J346" i="17"/>
  <c r="G347" i="17" s="1"/>
  <c r="H347" i="17" l="1"/>
  <c r="J347" i="17"/>
  <c r="G348" i="17" s="1"/>
  <c r="H348" i="17" l="1"/>
  <c r="J348" i="17" s="1"/>
  <c r="G349" i="17" s="1"/>
  <c r="H349" i="17" l="1"/>
  <c r="J349" i="17" s="1"/>
  <c r="G350" i="17" s="1"/>
  <c r="H350" i="17" l="1"/>
  <c r="J350" i="17"/>
  <c r="G351" i="17" s="1"/>
  <c r="H351" i="17" l="1"/>
  <c r="J351" i="17" s="1"/>
  <c r="G352" i="17" s="1"/>
  <c r="H352" i="17" l="1"/>
  <c r="J352" i="17"/>
  <c r="G353" i="17" s="1"/>
  <c r="H353" i="17" l="1"/>
  <c r="J353" i="17" s="1"/>
  <c r="G354" i="17" s="1"/>
  <c r="H354" i="17" l="1"/>
  <c r="J354" i="17" s="1"/>
  <c r="G355" i="17" s="1"/>
  <c r="H355" i="17" l="1"/>
  <c r="J355" i="17"/>
  <c r="G356" i="17" s="1"/>
  <c r="H356" i="17" l="1"/>
  <c r="J356" i="17"/>
  <c r="G357" i="17" s="1"/>
  <c r="H357" i="17" l="1"/>
  <c r="J357" i="17"/>
  <c r="G358" i="17" s="1"/>
  <c r="H358" i="17" l="1"/>
  <c r="J358" i="17"/>
  <c r="G359" i="17" s="1"/>
  <c r="H359" i="17" l="1"/>
  <c r="J359" i="17"/>
  <c r="G360" i="17" s="1"/>
  <c r="H360" i="17" l="1"/>
  <c r="J360" i="17" s="1"/>
  <c r="G361" i="17" s="1"/>
  <c r="H361" i="17" l="1"/>
  <c r="J361" i="17"/>
  <c r="G362" i="17" s="1"/>
  <c r="H362" i="17" l="1"/>
  <c r="J362" i="17" s="1"/>
  <c r="G363" i="17" s="1"/>
  <c r="H363" i="17" l="1"/>
  <c r="J363" i="17" s="1"/>
  <c r="G364" i="17" s="1"/>
  <c r="H364" i="17" l="1"/>
  <c r="J364" i="17"/>
  <c r="G365" i="17" s="1"/>
  <c r="H365" i="17" l="1"/>
  <c r="J365" i="17"/>
  <c r="G366" i="17" s="1"/>
  <c r="H366" i="17" l="1"/>
  <c r="J366" i="17"/>
  <c r="G367" i="17" s="1"/>
  <c r="H367" i="17" l="1"/>
  <c r="J367" i="17"/>
  <c r="G368" i="17" s="1"/>
  <c r="H368" i="17" l="1"/>
  <c r="J368" i="17" s="1"/>
  <c r="G369" i="17" s="1"/>
  <c r="H369" i="17" l="1"/>
  <c r="J369" i="17"/>
  <c r="G370" i="17" s="1"/>
  <c r="H370" i="17" l="1"/>
  <c r="J370" i="17"/>
  <c r="G371" i="17" s="1"/>
  <c r="H371" i="17" l="1"/>
  <c r="J371" i="17" s="1"/>
  <c r="G372" i="17" s="1"/>
  <c r="H372" i="17" l="1"/>
  <c r="J372" i="17" s="1"/>
  <c r="G373" i="17" s="1"/>
  <c r="H373" i="17" l="1"/>
  <c r="J373" i="17"/>
  <c r="G374" i="17" s="1"/>
  <c r="H374" i="17" l="1"/>
  <c r="J374" i="17" s="1"/>
  <c r="G375" i="17" s="1"/>
  <c r="H375" i="17" l="1"/>
  <c r="J375" i="17" s="1"/>
  <c r="G376" i="17" s="1"/>
  <c r="H376" i="17" l="1"/>
  <c r="J376" i="17"/>
  <c r="G377" i="17" s="1"/>
  <c r="H377" i="17" l="1"/>
  <c r="J377" i="17"/>
  <c r="G378" i="17" s="1"/>
  <c r="H378" i="17" l="1"/>
  <c r="J378" i="17" s="1"/>
  <c r="G379" i="17" s="1"/>
  <c r="H379" i="17" l="1"/>
  <c r="J379" i="17"/>
  <c r="G380" i="17" s="1"/>
  <c r="H380" i="17" l="1"/>
  <c r="J380" i="17"/>
  <c r="G381" i="17" s="1"/>
  <c r="H381" i="17" l="1"/>
  <c r="J381" i="17" s="1"/>
  <c r="G382" i="17" s="1"/>
  <c r="H382" i="17" l="1"/>
  <c r="J382" i="17"/>
  <c r="G383" i="17" s="1"/>
  <c r="H383" i="17" l="1"/>
  <c r="J383" i="17" s="1"/>
  <c r="G384" i="17" s="1"/>
  <c r="H384" i="17" l="1"/>
  <c r="J384" i="17" s="1"/>
  <c r="G385" i="17" s="1"/>
  <c r="H385" i="17" l="1"/>
  <c r="J385" i="17"/>
  <c r="G386" i="17" s="1"/>
  <c r="H386" i="17" l="1"/>
  <c r="J386" i="17"/>
  <c r="G387" i="17" s="1"/>
  <c r="H387" i="17" l="1"/>
  <c r="J387" i="17" s="1"/>
  <c r="G388" i="17" s="1"/>
  <c r="H388" i="17" l="1"/>
  <c r="J388" i="17" s="1"/>
  <c r="G389" i="17" s="1"/>
  <c r="H389" i="17" l="1"/>
  <c r="J389" i="17"/>
  <c r="G390" i="17" s="1"/>
  <c r="H390" i="17" l="1"/>
  <c r="J390" i="17"/>
  <c r="G391" i="17" s="1"/>
  <c r="H391" i="17" l="1"/>
  <c r="J391" i="17"/>
  <c r="G392" i="17" s="1"/>
  <c r="H392" i="17" l="1"/>
  <c r="J392" i="17" s="1"/>
  <c r="G393" i="17" s="1"/>
  <c r="H393" i="17" l="1"/>
  <c r="J393" i="17" s="1"/>
  <c r="G394" i="17" s="1"/>
  <c r="H394" i="17" l="1"/>
  <c r="J394" i="17"/>
  <c r="G395" i="17" s="1"/>
  <c r="H395" i="17" l="1"/>
  <c r="J395" i="17" s="1"/>
  <c r="G396" i="17" s="1"/>
  <c r="H396" i="17" l="1"/>
  <c r="J396" i="17" s="1"/>
  <c r="G397" i="17" s="1"/>
  <c r="H397" i="17" l="1"/>
  <c r="J397" i="17" s="1"/>
  <c r="G398" i="17" s="1"/>
  <c r="H398" i="17" l="1"/>
  <c r="J398" i="17" s="1"/>
  <c r="G399" i="17" s="1"/>
  <c r="H399" i="17" l="1"/>
  <c r="J399" i="17" s="1"/>
  <c r="G400" i="17" s="1"/>
  <c r="H400" i="17" l="1"/>
  <c r="J400" i="17"/>
  <c r="G401" i="17" s="1"/>
  <c r="H401" i="17" l="1"/>
  <c r="J40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O22" authorId="0" shapeId="0" xr:uid="{806ADB47-F56D-4455-A6B3-5E9712D91A82}">
      <text>
        <r>
          <rPr>
            <b/>
            <sz val="11"/>
            <color indexed="81"/>
            <rFont val="Tahoma"/>
            <family val="2"/>
          </rPr>
          <t xml:space="preserve">Acerca de los ingresos:Pf13
</t>
        </r>
        <r>
          <rPr>
            <sz val="11"/>
            <color indexed="81"/>
            <rFont val="Tahoma"/>
            <family val="2"/>
          </rPr>
          <t xml:space="preserve">El operador debe reconocer y medir los ingresos de actividades ordinarias, para los servicios que preste, de acuerdo con la NIIF 15.
</t>
        </r>
        <r>
          <rPr>
            <b/>
            <sz val="11"/>
            <color indexed="81"/>
            <rFont val="Tahoma"/>
            <family val="2"/>
          </rPr>
          <t xml:space="preserve">Acerca de los ingresos: Pf20
</t>
        </r>
        <r>
          <rPr>
            <sz val="11"/>
            <color indexed="81"/>
            <rFont val="Tahoma"/>
            <family val="2"/>
          </rPr>
          <t xml:space="preserve">El operador debe contabilizar los servicios de operación de acuerdo con la
NIIF 15.
</t>
        </r>
      </text>
    </comment>
    <comment ref="E61" authorId="0" shapeId="0" xr:uid="{33ECC65D-1F9B-456A-8D8B-6395DEC7E1D6}">
      <text>
        <r>
          <rPr>
            <b/>
            <sz val="9"/>
            <color indexed="81"/>
            <rFont val="Tahoma"/>
            <family val="2"/>
          </rPr>
          <t xml:space="preserve">Contraprestación por construcción:
</t>
        </r>
        <r>
          <rPr>
            <sz val="9"/>
            <color indexed="81"/>
            <rFont val="Tahoma"/>
            <family val="2"/>
          </rPr>
          <t xml:space="preserve">Si el operador proporciona servicios de construcción o de mejora, la
contraprestación recibida o a recibir por dicho operador se reconocerá por su valor razonable de acuerdo con la NIIF 15. </t>
        </r>
      </text>
    </comment>
    <comment ref="E70" authorId="0" shapeId="0" xr:uid="{3C214440-139D-436A-8C6C-C81D6A04BDE9}">
      <text>
        <r>
          <rPr>
            <b/>
            <sz val="11"/>
            <color indexed="81"/>
            <rFont val="Tahoma"/>
            <family val="2"/>
          </rPr>
          <t xml:space="preserve">Acerca de los ingresos:Pf13
</t>
        </r>
        <r>
          <rPr>
            <sz val="11"/>
            <color indexed="81"/>
            <rFont val="Tahoma"/>
            <family val="2"/>
          </rPr>
          <t xml:space="preserve">El operador debe reconocer y medir los ingresos de actividades ordinarias, para los servicios que preste, de acuerdo con la NIIF 15.
</t>
        </r>
        <r>
          <rPr>
            <b/>
            <sz val="11"/>
            <color indexed="81"/>
            <rFont val="Tahoma"/>
            <family val="2"/>
          </rPr>
          <t xml:space="preserve">Acerca de los ingresos: Pf20
</t>
        </r>
        <r>
          <rPr>
            <sz val="11"/>
            <color indexed="81"/>
            <rFont val="Tahoma"/>
            <family val="2"/>
          </rPr>
          <t xml:space="preserve">El operador debe contabilizar los servicios de operación de acuerdo con la
NIIF 15.
</t>
        </r>
      </text>
    </comment>
    <comment ref="D140" authorId="0" shapeId="0" xr:uid="{A338A595-B10E-4157-A988-4AF35A1C86F3}">
      <text>
        <r>
          <rPr>
            <b/>
            <sz val="11"/>
            <color indexed="81"/>
            <rFont val="Tahoma"/>
            <family val="2"/>
          </rPr>
          <t xml:space="preserve">Servicios de operación
</t>
        </r>
        <r>
          <rPr>
            <b/>
            <sz val="9"/>
            <color indexed="81"/>
            <rFont val="Tahoma"/>
            <family val="2"/>
          </rPr>
          <t xml:space="preserve">El operador debe contabilizar los servicios de operación de acuerdo con la NIIF 15.
</t>
        </r>
      </text>
    </comment>
    <comment ref="D175" authorId="0" shapeId="0" xr:uid="{3499627A-FA3D-4261-9A83-D770CAFD5761}">
      <text>
        <r>
          <rPr>
            <b/>
            <sz val="11"/>
            <color indexed="81"/>
            <rFont val="Tahoma"/>
            <family val="2"/>
          </rPr>
          <t xml:space="preserve">Servicios de operación
</t>
        </r>
        <r>
          <rPr>
            <b/>
            <sz val="9"/>
            <color indexed="81"/>
            <rFont val="Tahoma"/>
            <family val="2"/>
          </rPr>
          <t xml:space="preserve">El operador debe contabilizar los servicios de operación de acuerdo con la NIIF 15.
</t>
        </r>
      </text>
    </comment>
    <comment ref="D211" authorId="0" shapeId="0" xr:uid="{71B733C6-8009-4EF4-BAC5-ABC6DDEC7354}">
      <text>
        <r>
          <rPr>
            <b/>
            <sz val="11"/>
            <color indexed="81"/>
            <rFont val="Tahoma"/>
            <family val="2"/>
          </rPr>
          <t xml:space="preserve">Servicios de operación
</t>
        </r>
        <r>
          <rPr>
            <b/>
            <sz val="9"/>
            <color indexed="81"/>
            <rFont val="Tahoma"/>
            <family val="2"/>
          </rPr>
          <t xml:space="preserve">El operador debe contabilizar los servicios de operación de acuerdo con la NIIF 15.
</t>
        </r>
      </text>
    </comment>
  </commentList>
</comments>
</file>

<file path=xl/sharedStrings.xml><?xml version="1.0" encoding="utf-8"?>
<sst xmlns="http://schemas.openxmlformats.org/spreadsheetml/2006/main" count="1626" uniqueCount="617">
  <si>
    <t>Acuerdos de Concesión de Servicios</t>
  </si>
  <si>
    <t>CINIIF 12</t>
  </si>
  <si>
    <t>Consorcio Agua Azul SAC</t>
  </si>
  <si>
    <t xml:space="preserve">Ha construido una planta de potabilizacion de las aguas </t>
  </si>
  <si>
    <t>subterraneas del rio Chillon.</t>
  </si>
  <si>
    <t>Construir la planta</t>
  </si>
  <si>
    <t>Operar la planta</t>
  </si>
  <si>
    <t>Transferir la planta al Gobierno</t>
  </si>
  <si>
    <t>B</t>
  </si>
  <si>
    <t>O</t>
  </si>
  <si>
    <t>T</t>
  </si>
  <si>
    <t>Built</t>
  </si>
  <si>
    <t>Operate</t>
  </si>
  <si>
    <t>Transfer</t>
  </si>
  <si>
    <t>Poseer</t>
  </si>
  <si>
    <t>Own</t>
  </si>
  <si>
    <t>Alcance</t>
  </si>
  <si>
    <t>EL Gobierno regula</t>
  </si>
  <si>
    <t>¿Qué servicio se brindará?</t>
  </si>
  <si>
    <t>¿Quiénes serán los clientes?</t>
  </si>
  <si>
    <t>¿Cuál será el precio?</t>
  </si>
  <si>
    <t>CONTRATO:</t>
  </si>
  <si>
    <t>Activo</t>
  </si>
  <si>
    <t>Un red de telefericos</t>
  </si>
  <si>
    <t>Está construido</t>
  </si>
  <si>
    <t>Licitación</t>
  </si>
  <si>
    <t>Ganador</t>
  </si>
  <si>
    <t>TRAMPO S.A.</t>
  </si>
  <si>
    <t>Sobre</t>
  </si>
  <si>
    <t>Plazo</t>
  </si>
  <si>
    <t>años</t>
  </si>
  <si>
    <t>USD</t>
  </si>
  <si>
    <t>PPE</t>
  </si>
  <si>
    <t>A cambio de los 40 Millones, el privado operará el TELEFERICO</t>
  </si>
  <si>
    <t>y cobrará a los usuarios la tarifa que el gobierno establezca</t>
  </si>
  <si>
    <t>Intangible</t>
  </si>
  <si>
    <t>Efectivo</t>
  </si>
  <si>
    <t>D</t>
  </si>
  <si>
    <t>H</t>
  </si>
  <si>
    <t>Vida util = 20 años</t>
  </si>
  <si>
    <t>Cuenta por cobrar</t>
  </si>
  <si>
    <t>Pago</t>
  </si>
  <si>
    <t>Tasa</t>
  </si>
  <si>
    <t>VP</t>
  </si>
  <si>
    <t>Acuerdo 1:</t>
  </si>
  <si>
    <t>Acuerdo 2:</t>
  </si>
  <si>
    <t>SI</t>
  </si>
  <si>
    <t>ING FIN</t>
  </si>
  <si>
    <t>COBRO</t>
  </si>
  <si>
    <t>SF</t>
  </si>
  <si>
    <t>Provisión</t>
  </si>
  <si>
    <t>Costo</t>
  </si>
  <si>
    <t>Amortizado</t>
  </si>
  <si>
    <t>COSTO</t>
  </si>
  <si>
    <t>VU-NIC16</t>
  </si>
  <si>
    <t>VU-TAX</t>
  </si>
  <si>
    <t>1) Metodo: Incremental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</si>
  <si>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</si>
  <si>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</si>
  <si>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</si>
  <si>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</si>
  <si>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</si>
  <si>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</si>
  <si>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</si>
  <si>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</si>
  <si>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</si>
  <si>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</si>
  <si>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Gasto contable NIC16</t>
  </si>
  <si>
    <t>Gasto TAX</t>
  </si>
  <si>
    <t>Escudo tributario</t>
  </si>
  <si>
    <t>Que me merezco</t>
  </si>
  <si>
    <t>Que da la Adm Tribut</t>
  </si>
  <si>
    <t>Activo IRD</t>
  </si>
  <si>
    <t>Efecto del IRD en Rtdos</t>
  </si>
  <si>
    <t>2) Método del resultado</t>
  </si>
  <si>
    <t>Utilidad contable</t>
  </si>
  <si>
    <t>(+) Gasto contable</t>
  </si>
  <si>
    <t>(-) Gasto tributario</t>
  </si>
  <si>
    <t>Utilidad tributaria</t>
  </si>
  <si>
    <t>diferencia temporal</t>
  </si>
  <si>
    <t>DIFERENCIA TEMPORARIAS</t>
  </si>
  <si>
    <t>dt</t>
  </si>
  <si>
    <t>DT</t>
  </si>
  <si>
    <t>Tasa x dt</t>
  </si>
  <si>
    <t>IRD en resultados</t>
  </si>
  <si>
    <t>Tasa x DT</t>
  </si>
  <si>
    <t>IRD en ESF</t>
  </si>
  <si>
    <t>3) Método del BALANCE</t>
  </si>
  <si>
    <t>Valor en libros</t>
  </si>
  <si>
    <t>Base tributaria</t>
  </si>
  <si>
    <t>Dep acumulada</t>
  </si>
  <si>
    <t>4) Método al OJO</t>
  </si>
  <si>
    <t>Ventas</t>
  </si>
  <si>
    <t>Costos de ventas</t>
  </si>
  <si>
    <t>:</t>
  </si>
  <si>
    <t>Utilidad antes de impuestos</t>
  </si>
  <si>
    <t>Imp renta Corriente</t>
  </si>
  <si>
    <t>Imp renta Diferido</t>
  </si>
  <si>
    <t>Efecto Combinado del Irta</t>
  </si>
  <si>
    <t>Utilidad neta</t>
  </si>
  <si>
    <t>Tasa efectiva</t>
  </si>
  <si>
    <t>Inventarios - costo</t>
  </si>
  <si>
    <t>Inventarios - deterioro acum</t>
  </si>
  <si>
    <t>NIC 2</t>
  </si>
  <si>
    <t>Factura</t>
  </si>
  <si>
    <t>METODO DE BALANCE</t>
  </si>
  <si>
    <t>Diferencia temporaria</t>
  </si>
  <si>
    <t>Activo por IRD</t>
  </si>
  <si>
    <t>Saldo inicial</t>
  </si>
  <si>
    <t>Adiciones/Bajas</t>
  </si>
  <si>
    <t>Saldo final</t>
  </si>
  <si>
    <t xml:space="preserve">Gasto/ingreso contable </t>
  </si>
  <si>
    <t>Gasto/ingreso TAX</t>
  </si>
  <si>
    <t>(+) Deterioros del año</t>
  </si>
  <si>
    <t>(-) Extornos de deterioro</t>
  </si>
  <si>
    <t>BOT</t>
  </si>
  <si>
    <t xml:space="preserve">A cambio de los 40 Millones, </t>
  </si>
  <si>
    <t xml:space="preserve">* el privado operará el TELEFERICO </t>
  </si>
  <si>
    <t>* cobrará a los usuarios la tarifa que el gobierno establezca</t>
  </si>
  <si>
    <t>* COBRARÁ USD1,000,000 al año al gobierno</t>
  </si>
  <si>
    <t>CASO:</t>
  </si>
  <si>
    <t>EL TELEFERICO NO EXISTE</t>
  </si>
  <si>
    <t>Obligaciones:</t>
  </si>
  <si>
    <t>Construir el teleferico a un costo de</t>
  </si>
  <si>
    <t>Operar el teleferico por 20 años</t>
  </si>
  <si>
    <t>Devovler el teleferico</t>
  </si>
  <si>
    <t>Derechos:</t>
  </si>
  <si>
    <t>Cobrar las tarifas a los clientes</t>
  </si>
  <si>
    <t>Plazo de construcción es de 18 meses</t>
  </si>
  <si>
    <t>Semestre 1</t>
  </si>
  <si>
    <t>Semestre 2</t>
  </si>
  <si>
    <t>Semestre 3</t>
  </si>
  <si>
    <t>Facturas por pagar</t>
  </si>
  <si>
    <t>Intangible en proceso</t>
  </si>
  <si>
    <t xml:space="preserve">Intangible </t>
  </si>
  <si>
    <t>Costo de construccion</t>
  </si>
  <si>
    <t>Ingreso x la construcción</t>
  </si>
  <si>
    <t>Costo de construcc</t>
  </si>
  <si>
    <t>Ingreso</t>
  </si>
  <si>
    <t>Mant 1</t>
  </si>
  <si>
    <t>Mant 2</t>
  </si>
  <si>
    <t>Mant 3</t>
  </si>
  <si>
    <t>Mant 4</t>
  </si>
  <si>
    <t>Presupuesto</t>
  </si>
  <si>
    <t>Inflación</t>
  </si>
  <si>
    <t>VF Presupuesto</t>
  </si>
  <si>
    <t>Tasa libre de riesgo</t>
  </si>
  <si>
    <t>VP Presupuesto</t>
  </si>
  <si>
    <t>GF</t>
  </si>
  <si>
    <t>AMORT</t>
  </si>
  <si>
    <t>TOTAL</t>
  </si>
  <si>
    <t>IMPUESTO DIFERIDO EN UN TOQUE</t>
  </si>
  <si>
    <t>TASA</t>
  </si>
  <si>
    <t>Pérdida por deterioro</t>
  </si>
  <si>
    <t>Deterioro acumulado</t>
  </si>
  <si>
    <t>ESF</t>
  </si>
  <si>
    <t>Costo de ventas</t>
  </si>
  <si>
    <t>Utilidad bruta</t>
  </si>
  <si>
    <t>Estado de resultados</t>
  </si>
  <si>
    <t>Impuesto a la renta corriente</t>
  </si>
  <si>
    <t>EXTRA-CONTABLE: Calculo del impuesto a la renta corriente</t>
  </si>
  <si>
    <t>(+) Adicciones</t>
  </si>
  <si>
    <t>(-) Deducciones</t>
  </si>
  <si>
    <t>Estimación contable</t>
  </si>
  <si>
    <t>% Para el accionista</t>
  </si>
  <si>
    <t>Costo efectivo tributario</t>
  </si>
  <si>
    <t>NIC 2 Los inventarios se miden al costo o VNR el menor</t>
  </si>
  <si>
    <t>881/4017  Impuesto a la renta corriente</t>
  </si>
  <si>
    <t>882/ Impuesto a la renta diferido</t>
  </si>
  <si>
    <t>Descuadre</t>
  </si>
  <si>
    <t>Acumulación</t>
  </si>
  <si>
    <t>Invnetario</t>
  </si>
  <si>
    <t>Det acum</t>
  </si>
  <si>
    <t>VL</t>
  </si>
  <si>
    <t>BT</t>
  </si>
  <si>
    <t>AIRD</t>
  </si>
  <si>
    <t>Activo IRD cuando el VL &lt; BT</t>
  </si>
  <si>
    <t>Alli donde tienes deterioro de activos; tendras ACTIVOS POR IMPUESTOS DIFERIDOS</t>
  </si>
  <si>
    <t>Multas y sanciones de organismos reguladores</t>
  </si>
  <si>
    <t>Comprobación</t>
  </si>
  <si>
    <t>Gasto por IRC</t>
  </si>
  <si>
    <t>Impuesto por pagar</t>
  </si>
  <si>
    <t>AÑO 2022</t>
  </si>
  <si>
    <t>Diferencia</t>
  </si>
  <si>
    <t>Temporaria</t>
  </si>
  <si>
    <t>Final</t>
  </si>
  <si>
    <t xml:space="preserve">Saldo </t>
  </si>
  <si>
    <t>Inicial</t>
  </si>
  <si>
    <t>SI AIRD</t>
  </si>
  <si>
    <t>SF AIRD</t>
  </si>
  <si>
    <t>Prueba 1</t>
  </si>
  <si>
    <t>Variacion de diferencias temporarias</t>
  </si>
  <si>
    <t>Diferencias temporales en la conciliacion tributaria</t>
  </si>
  <si>
    <t>Should be zero -----------------------------------------&gt;</t>
  </si>
  <si>
    <t>Prueba 2</t>
  </si>
  <si>
    <t>Impuesto diferido método del resultado</t>
  </si>
  <si>
    <t>Impuesto diferido método del balance</t>
  </si>
  <si>
    <t>Prueba 3</t>
  </si>
  <si>
    <t>Efecto combinado del IR</t>
  </si>
  <si>
    <t>Prueba ácida</t>
  </si>
  <si>
    <t>LIR:</t>
  </si>
  <si>
    <t>Acepta la venta por un valor menor al costo</t>
  </si>
  <si>
    <t>Precio de compra</t>
  </si>
  <si>
    <t>Venta</t>
  </si>
  <si>
    <t>Destrucción</t>
  </si>
  <si>
    <t>CASO 1.</t>
  </si>
  <si>
    <t>Republica Bananera convoca en una licitación internacional a empresas privadas</t>
  </si>
  <si>
    <t>El contrato establece:</t>
  </si>
  <si>
    <t>La empresa ganadora recibirá un contrato para operar un Tren existente</t>
  </si>
  <si>
    <t>* El privado operará el tren durante 25 años</t>
  </si>
  <si>
    <t>* El  privado  debe pagar el monto ofertado</t>
  </si>
  <si>
    <t>* La tarifa es regulada por el gobierno</t>
  </si>
  <si>
    <t>NIIF 9 Instrumentos financieros</t>
  </si>
  <si>
    <t>NIC 38 Intangibles</t>
  </si>
  <si>
    <t>NIIF 15 Ingresos</t>
  </si>
  <si>
    <t>¿De qué se trata un acuerdo de concesión de servicios?</t>
  </si>
  <si>
    <t>Es un contrato entre:</t>
  </si>
  <si>
    <t>El Gobierno</t>
  </si>
  <si>
    <t>El Privado</t>
  </si>
  <si>
    <t>(el cedente)</t>
  </si>
  <si>
    <t>Para que:</t>
  </si>
  <si>
    <t>El privado preste un servicio que es monopolio del gobierno</t>
  </si>
  <si>
    <t>El servicio se presta haciendo uso de un ACTIVO FISICO</t>
  </si>
  <si>
    <t>El activo fisico puede existir a la fecha de contratación</t>
  </si>
  <si>
    <t>El activo fisico puede no existir , el privado lo CONSTRUYE</t>
  </si>
  <si>
    <t>Transporte</t>
  </si>
  <si>
    <t>Tren</t>
  </si>
  <si>
    <t>Monopolios del Gobiernos</t>
  </si>
  <si>
    <t>Son los Servicios Públicos</t>
  </si>
  <si>
    <t>Agua</t>
  </si>
  <si>
    <t>Carreteras</t>
  </si>
  <si>
    <t>Espectro radioelectrico</t>
  </si>
  <si>
    <t>Aeropuertos</t>
  </si>
  <si>
    <t>Carceles</t>
  </si>
  <si>
    <t>Electricidad (generación, transmisión, distribución)</t>
  </si>
  <si>
    <t>El privado cobra el uso del servicio a los usuarios</t>
  </si>
  <si>
    <t>Las tarifas son reguladas por el gobierno</t>
  </si>
  <si>
    <t>* El privado dará mantenimiento al tren durante los 25 años</t>
  </si>
  <si>
    <t>* El privado cobrará las tarifas a los usuarios del tren (son ingresos)</t>
  </si>
  <si>
    <t>* Al termino de los 25 años, el tren se devuelve al gobierno</t>
  </si>
  <si>
    <t>* La empresa ganadora ofertó USD40,000,000</t>
  </si>
  <si>
    <t>Paso 1: Reconocer la salida de dinero</t>
  </si>
  <si>
    <t>Activo Intangible</t>
  </si>
  <si>
    <t>Tratamiento posterior: el intangible se amortizará durante 25 años</t>
  </si>
  <si>
    <t>Paso 2: Durante el primer mes se tuvieron los siguientes datos:</t>
  </si>
  <si>
    <t>Costos de operación</t>
  </si>
  <si>
    <t>(personal, mantenimientos, depreciación, etc)</t>
  </si>
  <si>
    <t>Ingresos de operación</t>
  </si>
  <si>
    <t>Ingresos operativos</t>
  </si>
  <si>
    <t>CASO 2.</t>
  </si>
  <si>
    <t>La empresa ganadora recibirá un contrato para operar una LINEA DE TRANSMISION existente</t>
  </si>
  <si>
    <t>* El privado cobrará un monto fijo garantizado por el Gobierno</t>
  </si>
  <si>
    <t>* Al termino de los 25 años, las lineas se devuelven al gobierno</t>
  </si>
  <si>
    <t>* Establecimiento del precio a cobrar:</t>
  </si>
  <si>
    <t>Monto de la inversión</t>
  </si>
  <si>
    <t>Tasa de rentabilidad garantizada</t>
  </si>
  <si>
    <t>Función pago</t>
  </si>
  <si>
    <t>Función pago mensual</t>
  </si>
  <si>
    <t>Distribuir entre 5</t>
  </si>
  <si>
    <t>ajustable por inflación</t>
  </si>
  <si>
    <t>* El privado dará mantenimiento a la línea durante los 25 años ( bajo su costo)</t>
  </si>
  <si>
    <t>* El privado operará la linea durante 25 años (bajo su costo)</t>
  </si>
  <si>
    <t>NIIF 9</t>
  </si>
  <si>
    <t>NIC 38</t>
  </si>
  <si>
    <t>Se le aplicará el modelo del costo amortizado durante 25 años</t>
  </si>
  <si>
    <t>S Inicial</t>
  </si>
  <si>
    <t>Cobro</t>
  </si>
  <si>
    <t>Interes</t>
  </si>
  <si>
    <t>Saldo Final</t>
  </si>
  <si>
    <t>Paso 2: Durante el primer año se tuvieron los siguientes datos:</t>
  </si>
  <si>
    <t>Ingresos financieros (operativos)</t>
  </si>
  <si>
    <t>ENFOQUE DE INSTRUMENTO FINANCIERO</t>
  </si>
  <si>
    <t>ENFOQUE DE INTANIGBLE</t>
  </si>
  <si>
    <t>CASO 3.</t>
  </si>
  <si>
    <t>ENFOQUE BIFURCADO</t>
  </si>
  <si>
    <t>* El privado cobrará un monto fijo garantizado por el gobierno de USD500,000</t>
  </si>
  <si>
    <t>conocido</t>
  </si>
  <si>
    <t>desconocido</t>
  </si>
  <si>
    <t>intangible</t>
  </si>
  <si>
    <t>inst financ.</t>
  </si>
  <si>
    <t>(Libre de riesgo + Riesgo país)</t>
  </si>
  <si>
    <t>Tratamiento posterior:</t>
  </si>
  <si>
    <t>Intangible:</t>
  </si>
  <si>
    <t>se amortiza en 25 años</t>
  </si>
  <si>
    <t>Cxcobrar:</t>
  </si>
  <si>
    <t>se mide al costo amortizado</t>
  </si>
  <si>
    <t>Ingresos de operación venta de tickets</t>
  </si>
  <si>
    <t>CASO 4.</t>
  </si>
  <si>
    <t>* La empresa ganadora deberá construir el tren a un costo de USD40 millones</t>
  </si>
  <si>
    <t>Avances de construcción…</t>
  </si>
  <si>
    <t>Asumir que ya se terminó la construcción:</t>
  </si>
  <si>
    <t>Opinión 1</t>
  </si>
  <si>
    <t>Opinión 2</t>
  </si>
  <si>
    <t>Desembolsado en la construcción</t>
  </si>
  <si>
    <t>Costo de servicio de construcción</t>
  </si>
  <si>
    <t>Ingreso por servicio de construcción</t>
  </si>
  <si>
    <t>Opinión  3</t>
  </si>
  <si>
    <t>CASO 5.</t>
  </si>
  <si>
    <t>* La empresa ganadora ofertó USD40,000,000 (50% al contado / 50% en 5 años)</t>
  </si>
  <si>
    <t>Cuenta por pagar</t>
  </si>
  <si>
    <t>Monto</t>
  </si>
  <si>
    <t>tasa de deuda de la empresa</t>
  </si>
  <si>
    <t>PAGO</t>
  </si>
  <si>
    <t>Cta x cobrar</t>
  </si>
  <si>
    <t>Ganancia</t>
  </si>
  <si>
    <t>Te expropian en inglaterra</t>
  </si>
  <si>
    <t>Te expropian en venezuela</t>
  </si>
  <si>
    <t>Perdida</t>
  </si>
  <si>
    <t>Te expropian en peru</t>
  </si>
  <si>
    <t>Casos de Expropiaciones</t>
  </si>
  <si>
    <t>Impuesto a la renta diferido</t>
  </si>
  <si>
    <t>Gasto IRC</t>
  </si>
  <si>
    <t>Costo efectivo tributario %</t>
  </si>
  <si>
    <t>(+) Adiciones</t>
  </si>
  <si>
    <t>Inventario</t>
  </si>
  <si>
    <t>Cuenta</t>
  </si>
  <si>
    <t>Con deterioro acumulado de inventarios</t>
  </si>
  <si>
    <t>Con deterioro acumulado de cuentas por cobrar</t>
  </si>
  <si>
    <t>Con deterioro acumulado de Activos Fijos</t>
  </si>
  <si>
    <t>NIC2</t>
  </si>
  <si>
    <t>NIIF9</t>
  </si>
  <si>
    <t>NIC36</t>
  </si>
  <si>
    <t>Distorsión</t>
  </si>
  <si>
    <t>LA MATEMATICA DEL IMPUESTO DIFERIDO</t>
  </si>
  <si>
    <t>Costo PPE</t>
  </si>
  <si>
    <t>VU - NIC16</t>
  </si>
  <si>
    <t>VU - TAX</t>
  </si>
  <si>
    <t>FORMA 1:</t>
  </si>
  <si>
    <t>NIIF</t>
  </si>
  <si>
    <t>TAX</t>
  </si>
  <si>
    <t>Activo IRD al Cierre</t>
  </si>
  <si>
    <t>Activo IRD del año</t>
  </si>
  <si>
    <t>ER</t>
  </si>
  <si>
    <t>Saldo</t>
  </si>
  <si>
    <t>FORMA 2:</t>
  </si>
  <si>
    <t>VALOR EN LIBROS</t>
  </si>
  <si>
    <t>Dep acum</t>
  </si>
  <si>
    <t>BASE TRIBUTARIA</t>
  </si>
  <si>
    <t>FORMA 3:</t>
  </si>
  <si>
    <t>UTILIDAD CONTABLE</t>
  </si>
  <si>
    <t>(+) DEP CONTABLE</t>
  </si>
  <si>
    <t>(-) DEP TRIBUTARIA</t>
  </si>
  <si>
    <t>UTILIDAD TRIBUTARIA</t>
  </si>
  <si>
    <t>Impuesto a la renta por pagar</t>
  </si>
  <si>
    <t>Gasto Imp Renta</t>
  </si>
  <si>
    <t>Para cuadrar - el diferido</t>
  </si>
  <si>
    <t>FORMA 4:</t>
  </si>
  <si>
    <t>Diferencias temporarias</t>
  </si>
  <si>
    <t>A LA REALIDAD</t>
  </si>
  <si>
    <t>AÑO 1</t>
  </si>
  <si>
    <t>AÑO 2</t>
  </si>
  <si>
    <t>IMP RTA CORRIENTE</t>
  </si>
  <si>
    <t>3 COMPONENTES</t>
  </si>
  <si>
    <t>C1 =&gt; UAI</t>
  </si>
  <si>
    <t>C2=&gt; DT</t>
  </si>
  <si>
    <t>C3=&gt; DP</t>
  </si>
  <si>
    <t>IMP DIFERIDO</t>
  </si>
  <si>
    <t>IFRIC 12</t>
  </si>
  <si>
    <t>ANTECEDENTES</t>
  </si>
  <si>
    <t>Servicios Públicos son Monopolio de los Gobiernos:</t>
  </si>
  <si>
    <t xml:space="preserve">carreteras, </t>
  </si>
  <si>
    <t xml:space="preserve">puentes, </t>
  </si>
  <si>
    <t xml:space="preserve">túneles, </t>
  </si>
  <si>
    <t xml:space="preserve">prisiones, </t>
  </si>
  <si>
    <t xml:space="preserve">aeropuertos, </t>
  </si>
  <si>
    <t xml:space="preserve">instalaciones de distribución de agua, </t>
  </si>
  <si>
    <t xml:space="preserve">redes de suministro de energía y de telecomunicaciones </t>
  </si>
  <si>
    <t>son mantenidas por el sector público, y financiadas mediante asignaciones del presupuesto público.</t>
  </si>
  <si>
    <t>Proceso de Privatización</t>
  </si>
  <si>
    <t xml:space="preserve">el desarrollo, </t>
  </si>
  <si>
    <t xml:space="preserve">la financiación, </t>
  </si>
  <si>
    <t xml:space="preserve">la operación y </t>
  </si>
  <si>
    <t xml:space="preserve">el mantenimiento </t>
  </si>
  <si>
    <t>de dichas infraestructuras.</t>
  </si>
  <si>
    <t xml:space="preserve">Objetivo: atraer la participación del sector privado en </t>
  </si>
  <si>
    <t>Nota: la infraestructura podría existir, o el acuerdo podría incluir su construcción</t>
  </si>
  <si>
    <t>El concedente siempre es el Gobierno</t>
  </si>
  <si>
    <t>Parte  1:</t>
  </si>
  <si>
    <t>Parte  2:</t>
  </si>
  <si>
    <t>El privado opera la infraestructura durante el plazo del acuerdo (asume los costos)</t>
  </si>
  <si>
    <t>El concesionario (privado) es el operador</t>
  </si>
  <si>
    <t>El operador recibe pagos por sus servicios</t>
  </si>
  <si>
    <t>El acuerdo:</t>
  </si>
  <si>
    <t>Establece niveles de ejecución</t>
  </si>
  <si>
    <t>Arbitraje de disputas</t>
  </si>
  <si>
    <t>Denominaciones:</t>
  </si>
  <si>
    <t>Construir - Operar - Transferir (BOT)</t>
  </si>
  <si>
    <t>Rehabilitar - Operar - Transferir (ROT)</t>
  </si>
  <si>
    <t>Concesion de servicio público a un operador privado</t>
  </si>
  <si>
    <t>Características del acuerdo:</t>
  </si>
  <si>
    <t>El privado es responsable de la gestión (no es un intermediario)</t>
  </si>
  <si>
    <t>Mecanisnos para ajustar los precios (precios iniciales y posteriores)</t>
  </si>
  <si>
    <t>El operador debe devolver la infraestructura al final del contrato (sin contraprestación)</t>
  </si>
  <si>
    <t>ALCANCE DE LA INTERPRETACION</t>
  </si>
  <si>
    <t>Quién utiliza esta norma?</t>
  </si>
  <si>
    <t>El Privado (el concesionario, el operador)</t>
  </si>
  <si>
    <t xml:space="preserve">Esta Interpretación proporciona guías para la contabilización de los acuerdos de concesión de servicios </t>
  </si>
  <si>
    <t>públicos a un operador privado.</t>
  </si>
  <si>
    <t>¿Qué hace el gobierno?</t>
  </si>
  <si>
    <t>Nada. Como siempre.</t>
  </si>
  <si>
    <t>La interpretación es aplicable a:</t>
  </si>
  <si>
    <t>a) las infraestructuras que el operador construya o adquiera para ser destinadas al contrato</t>
  </si>
  <si>
    <t>b) las infraestructuras que el operador reciba para ser destinadas al contrato</t>
  </si>
  <si>
    <t>Los problemas que soluciona la interpretación</t>
  </si>
  <si>
    <t>a) Tratamiento de los derechos del operador (cuenta por cobrar / intangible)</t>
  </si>
  <si>
    <t>b) Reconocimiento y medición de la contraprestación pagada/recibida del acuerdo</t>
  </si>
  <si>
    <t>d) El costo de la operación</t>
  </si>
  <si>
    <t>e) El costo de por préstamos</t>
  </si>
  <si>
    <t>f) Tratamiento posterior de los activos finaniceros e intangibles</t>
  </si>
  <si>
    <t>g) Elementos proporcionados por el operador al concedente</t>
  </si>
  <si>
    <t>ACUERDOS</t>
  </si>
  <si>
    <t>Pf 11.Tratamiento de los derechos del operador sobre la infraestructura</t>
  </si>
  <si>
    <t>Las infraestructuras recibidas no deben ser reconocidas como elementos de PPE del operador, porque el</t>
  </si>
  <si>
    <t>acuerdo no otorga a éste el derecho a usarlas. El operador tiene acceso a la operación de la infraestructu-</t>
  </si>
  <si>
    <t>ra para proporcionar el servicio público en nombre de la concedente.</t>
  </si>
  <si>
    <t>Caso 1:</t>
  </si>
  <si>
    <t>Reconocimiento:</t>
  </si>
  <si>
    <t>* Posteriormente el intangible se debe amortizar durante el plazo del contrato</t>
  </si>
  <si>
    <t>* El privado reconocerá los cobros de pasajes como ingresos (NIIF 15)</t>
  </si>
  <si>
    <t>* El privado reconocerá todos los costos de operación adicionales a la amortización</t>
  </si>
  <si>
    <t>* El privado ofrece a sobre cerrado un importe de USD50,000,000</t>
  </si>
  <si>
    <t>* A cambio de recibir el teleferico para su operación durante 10 años.</t>
  </si>
  <si>
    <t>* El privado será responsable  de los costos de operación y mantenimiento.</t>
  </si>
  <si>
    <t xml:space="preserve">* El privado tiene derecho a recibir el pago por el uso del teleferico por parte </t>
  </si>
  <si>
    <t xml:space="preserve">   de los usuarios. Este ingreso es variable.</t>
  </si>
  <si>
    <t>Pf 13.</t>
  </si>
  <si>
    <t>Pf 14.Servicios de construcción o mejora</t>
  </si>
  <si>
    <t xml:space="preserve">El operador debe contabilizar los ingresos de actividades ordinarias y los costos relacionados con los </t>
  </si>
  <si>
    <t>servicios de construcción o de mejora de acuerdo con la NIIF 15.</t>
  </si>
  <si>
    <t>Caso 2:</t>
  </si>
  <si>
    <t>* El privado operará una linea de transmisión durante 10 años.</t>
  </si>
  <si>
    <t>* El privado debe construir la linea de transmisión</t>
  </si>
  <si>
    <t>* El privado tiene derecho a recibir una contraprestación fija que le</t>
  </si>
  <si>
    <t xml:space="preserve">   asegura una rentabilidad anual del 12%</t>
  </si>
  <si>
    <t>Medición financiera</t>
  </si>
  <si>
    <t>Monto de la inversión en construcción</t>
  </si>
  <si>
    <t>Año 0</t>
  </si>
  <si>
    <t>Flujos</t>
  </si>
  <si>
    <t>Cobros</t>
  </si>
  <si>
    <t>Tasa de mercado</t>
  </si>
  <si>
    <t>Margen de construcción</t>
  </si>
  <si>
    <t>IF</t>
  </si>
  <si>
    <t>Ingresos</t>
  </si>
  <si>
    <t>Costo de construcción</t>
  </si>
  <si>
    <t>Cuentas por pagar</t>
  </si>
  <si>
    <t>Ingresos por construcción</t>
  </si>
  <si>
    <t>Cuentas por cobrar</t>
  </si>
  <si>
    <t>Ingresos diferidos</t>
  </si>
  <si>
    <t>Ingresos financieros</t>
  </si>
  <si>
    <t>* El privado recibirá el reembolso de los costos de operación</t>
  </si>
  <si>
    <t>Pf 15-19. Contraprestación dada por la concedente al operador</t>
  </si>
  <si>
    <t>a) un activo financiero, o</t>
  </si>
  <si>
    <t>(b) un activo intangible.</t>
  </si>
  <si>
    <t xml:space="preserve">(a) importes especificados o determinables o </t>
  </si>
  <si>
    <t xml:space="preserve">Si el operador proporciona servicios de construcción o de mejora, la contraprestación recibida o a recibir </t>
  </si>
  <si>
    <t xml:space="preserve">por dicho operador se reconocerá por su valor razonable de  acuerdo con la NIIF 15. La contraprestación </t>
  </si>
  <si>
    <t>puede consistir en derechos sobre:</t>
  </si>
  <si>
    <t xml:space="preserve">efectivo u otro activo financiero  por los servicios de construcción. Esto sucede cuando la </t>
  </si>
  <si>
    <t xml:space="preserve">concedente garantiza el pago al operador de </t>
  </si>
  <si>
    <t xml:space="preserve">(b) el déficit, si lo hubiere, entre los importes recibidos de los usuarios del servicio público y </t>
  </si>
  <si>
    <t xml:space="preserve">El operador reconocerá un activo intangible en la medida en que recibe un derecho (una </t>
  </si>
  <si>
    <t xml:space="preserve">licencia) a efectuar cargos a los usuarios del servicio público. El derecho para efectuarlos </t>
  </si>
  <si>
    <t xml:space="preserve">no es un derecho incondicional a recibir efectivo, porque los importes están condicionados </t>
  </si>
  <si>
    <t>al grado de uso del servicio por parte del público.</t>
  </si>
  <si>
    <t>Caso 3.1: Activo intangible (puro)</t>
  </si>
  <si>
    <t>* El privado debe construir a un costo de</t>
  </si>
  <si>
    <t>* A cambio tendrá el derecho de operar el tren durante 10 años.</t>
  </si>
  <si>
    <t>* El privado tiene derecho a recibir el pago por el uso del tren a tarifas reguladas. El ingreso es variable.</t>
  </si>
  <si>
    <t>Servicio de construcción</t>
  </si>
  <si>
    <t>Efectivo/Cuentas por pagar</t>
  </si>
  <si>
    <t>Ingreso por construcción</t>
  </si>
  <si>
    <t>Ingreso de construcción</t>
  </si>
  <si>
    <t>Depreciación</t>
  </si>
  <si>
    <t>Amortización de intangible</t>
  </si>
  <si>
    <t>Caso 3.2: Activo financiero (puro)</t>
  </si>
  <si>
    <t>Flujo asegurado</t>
  </si>
  <si>
    <t>Tasa mercado</t>
  </si>
  <si>
    <t>Valor presente</t>
  </si>
  <si>
    <t xml:space="preserve">cuando el operador tenga un derecho contractual incondicional a recibir de la concedente </t>
  </si>
  <si>
    <t>los importes especificados en el contrato</t>
  </si>
  <si>
    <t>Cobranzas</t>
  </si>
  <si>
    <t>Caso 3.3: Bifurcado (mixto)</t>
  </si>
  <si>
    <t>c) Modelo mixto (bifurcado)</t>
  </si>
  <si>
    <t xml:space="preserve">Si se paga al operador por los servicios de construcción, en parte mediante un activo financiero </t>
  </si>
  <si>
    <t xml:space="preserve"> y en parte mediante un activo intangible , es necesario que cada componente de la contraprestación </t>
  </si>
  <si>
    <t xml:space="preserve">del operador se contabilice por separado. La contraprestación recibida o a recibir por ambos </t>
  </si>
  <si>
    <t>componentes deberá ser inicialmente reconocida de acuerdo con la NIIF 15.</t>
  </si>
  <si>
    <t>Amortización de intanigble</t>
  </si>
  <si>
    <t>NIIF15</t>
  </si>
  <si>
    <t>Pf 21.Obligaciones contractuales para restaurar la infraestructura y darle una capacidad especificada de servicio</t>
  </si>
  <si>
    <t xml:space="preserve">El operador puede tener obligaciones contractuales que deba cumplir como una condición de su licencia, para </t>
  </si>
  <si>
    <t>(a) mantener la infraestructura con una capacidad especificada de servicio, o para 
el que se informa.</t>
  </si>
  <si>
    <t xml:space="preserve">(b) restaurar la infraestructura hasta darle una condición de servicio especificada antes de entregarla a la concedente al final del acuerdo de servicio. </t>
  </si>
  <si>
    <t xml:space="preserve">estas obligaciones contractuales para mantener o restaurar la infraestructura deberán reconocerse y medirse de acuerdo con la NIC 37, </t>
  </si>
  <si>
    <t>es decir, según la mejor estimación del desembolso que se requeriría para cancelar la obligación presente al final del periodo sobre el que se informa</t>
  </si>
  <si>
    <t>Caso 4:</t>
  </si>
  <si>
    <t>* A cambio de recibir el teleferico para su operación durante 12 años.</t>
  </si>
  <si>
    <t>Año 11</t>
  </si>
  <si>
    <t>Año 12</t>
  </si>
  <si>
    <t>Ppto.</t>
  </si>
  <si>
    <t>Para el año 1</t>
  </si>
  <si>
    <t>Intanigble</t>
  </si>
  <si>
    <t>Se amortiza en un plazo de 3 años</t>
  </si>
  <si>
    <t>CF</t>
  </si>
  <si>
    <t>Gasto financiero</t>
  </si>
  <si>
    <t>Pf 22. Costos por préstamos</t>
  </si>
  <si>
    <t xml:space="preserve">De acuerdo con la NIC 23, los costos por préstamos que sean atribuibles a estos acuerdos se reconocerán </t>
  </si>
  <si>
    <t xml:space="preserve">como un gasto en el periodo en que se incurra en ellos, a menos que el operador tenga un derecho </t>
  </si>
  <si>
    <t xml:space="preserve">contractual a recibir un activo intangible (un derecho para cobrar a los usuarios del servicio público). </t>
  </si>
  <si>
    <t>Ingresos diferidos a resultados</t>
  </si>
  <si>
    <t>propedéutica</t>
  </si>
  <si>
    <t>Enseñanza preparatoria para el estudio de una disciplina.</t>
  </si>
  <si>
    <t>NIIF 15</t>
  </si>
  <si>
    <t>Instrumentos financieros</t>
  </si>
  <si>
    <t>Reconocimiento de ingresos</t>
  </si>
  <si>
    <t>Intangibles</t>
  </si>
  <si>
    <t>NIIF 15 para constructores</t>
  </si>
  <si>
    <t>Un constructor reconoce ingresos por servicios de construcción</t>
  </si>
  <si>
    <t>Monto de contrato</t>
  </si>
  <si>
    <t>Presupuesto de costo</t>
  </si>
  <si>
    <t>Margen</t>
  </si>
  <si>
    <t>Set</t>
  </si>
  <si>
    <t>Oct</t>
  </si>
  <si>
    <t>Nov</t>
  </si>
  <si>
    <t>Dic</t>
  </si>
  <si>
    <t>Ene</t>
  </si>
  <si>
    <t>Feb</t>
  </si>
  <si>
    <t>Costo incurrido</t>
  </si>
  <si>
    <t>% avance (progreso)</t>
  </si>
  <si>
    <t>Costo incurrido  = Mano de obra, Suministros, Pagos a proveedores, Depreciaciones, Amortizaciones…</t>
  </si>
  <si>
    <t>Facturación</t>
  </si>
  <si>
    <t>NIC 38 INTANGIBLES</t>
  </si>
  <si>
    <t>Derecho de utilizar INFRAESTRUCTURA del GOBIERNO</t>
  </si>
  <si>
    <t>Se amortiza en el plazo de vida util</t>
  </si>
  <si>
    <t>Se amortiza en el plazo del contrato</t>
  </si>
  <si>
    <t>NIIF 9 - COSTO AMORTIZADO</t>
  </si>
  <si>
    <t>Derecho a cobrar:</t>
  </si>
  <si>
    <t>meses</t>
  </si>
  <si>
    <t>¿Cómo debo reconocer la cuenta por cobrar?</t>
  </si>
  <si>
    <t>Reconocimiento inicial</t>
  </si>
  <si>
    <t>Reconocimiento posterior</t>
  </si>
  <si>
    <t>:  valor razonable</t>
  </si>
  <si>
    <t>: costo amortizado</t>
  </si>
  <si>
    <t>???????</t>
  </si>
  <si>
    <t>Pagos</t>
  </si>
  <si>
    <t>COBRA</t>
  </si>
  <si>
    <t>Ingreso financiero</t>
  </si>
  <si>
    <t>MODELO DEL COSTO AMORTIZADO</t>
  </si>
  <si>
    <t>Tasa = Rf + Riesgo país</t>
  </si>
  <si>
    <t>El privado construye o mejora el activo (la infraestructura)</t>
  </si>
  <si>
    <t>c) Servicios de construcción o mejora</t>
  </si>
  <si>
    <t>representa el derecho de cobro a los usuarios</t>
  </si>
  <si>
    <t>* El privado gana el concurso debido a su experiencia internacional</t>
  </si>
  <si>
    <t>a VR</t>
  </si>
  <si>
    <t>Costo amortizado</t>
  </si>
  <si>
    <t>Ingreso sfinancieros</t>
  </si>
  <si>
    <t>Clientes</t>
  </si>
  <si>
    <t>Gastos</t>
  </si>
  <si>
    <t>"PPE"</t>
  </si>
  <si>
    <t>Flujo</t>
  </si>
  <si>
    <t>E/R</t>
  </si>
  <si>
    <t>Operación</t>
  </si>
  <si>
    <t xml:space="preserve">* El privado tiene derecho a recibir USD1.6 millones por año por la construcción </t>
  </si>
  <si>
    <t xml:space="preserve">* El privado tiene derecho a recibir USD500,000 </t>
  </si>
  <si>
    <t>Compromiso de pago del Gbno</t>
  </si>
  <si>
    <t>Medición</t>
  </si>
  <si>
    <t>En la firma</t>
  </si>
  <si>
    <t>3 años</t>
  </si>
  <si>
    <t>5 años</t>
  </si>
  <si>
    <t>Privado paga</t>
  </si>
  <si>
    <t>Acuerdo: 25 años</t>
  </si>
  <si>
    <t>Compromisos de pago</t>
  </si>
  <si>
    <t>Pago 1</t>
  </si>
  <si>
    <t>Pago 2</t>
  </si>
  <si>
    <t>Pago 3</t>
  </si>
  <si>
    <t>Pasivo financiero</t>
  </si>
  <si>
    <t>Componentes del intangible</t>
  </si>
  <si>
    <t>C1</t>
  </si>
  <si>
    <t>C2</t>
  </si>
  <si>
    <t>C3</t>
  </si>
  <si>
    <t>CASO EXTRA</t>
  </si>
  <si>
    <t>* El Privado debe realizar un mantenimiento importante cada 3 años. El último se hará en el año de la devolución de la infraestructura.</t>
  </si>
  <si>
    <t xml:space="preserve">   MANTENIMIENTO MAYOR AL ESTAR EN EL CONTRATO = OBLIGACION LEGAL</t>
  </si>
  <si>
    <t>Componente</t>
  </si>
  <si>
    <t>se actualiza con costo amortizado</t>
  </si>
  <si>
    <t>Gasto</t>
  </si>
  <si>
    <t>Sin NIIF</t>
  </si>
  <si>
    <t>Con NIIF</t>
  </si>
  <si>
    <t>Gasto F</t>
  </si>
  <si>
    <t>Amort</t>
  </si>
  <si>
    <t>Prestamo de efectivo</t>
  </si>
  <si>
    <t>PXP</t>
  </si>
  <si>
    <t>Prestamo por pagar</t>
  </si>
  <si>
    <t xml:space="preserve">En este caso, los costos por préstamos que sean atribuibles a estos acuerdos se  capitalizarán durante la </t>
  </si>
  <si>
    <r>
      <rPr>
        <b/>
        <i/>
        <u/>
        <sz val="14"/>
        <color theme="1"/>
        <rFont val="Calibri"/>
        <family val="2"/>
        <scheme val="minor"/>
      </rPr>
      <t xml:space="preserve">fase de construcción del acuerdo </t>
    </r>
    <r>
      <rPr>
        <i/>
        <sz val="14"/>
        <color theme="1"/>
        <rFont val="Calibri"/>
        <family val="2"/>
        <scheme val="minor"/>
      </rPr>
      <t>según esta Norma.</t>
    </r>
  </si>
  <si>
    <t>El ejemplo de la sección de la B de la IFRIC interpreta: fase de construccion del acuerdo = fase de construcción de la infraestructura</t>
  </si>
  <si>
    <t xml:space="preserve">Asumiendo que la construccion dura doce meses, </t>
  </si>
  <si>
    <t>entonces solamente se puede capitlizar la parte</t>
  </si>
  <si>
    <t>sombreada</t>
  </si>
  <si>
    <t>DETERIORO DE INVENTARIOS</t>
  </si>
  <si>
    <t>DETERIORO DE CXCOBRAR</t>
  </si>
  <si>
    <t>DEPRECIACIONES NIC16</t>
  </si>
  <si>
    <t>MEDICIONES DE VALOR RAZONABLE</t>
  </si>
  <si>
    <t>PROVISIONES NIC37</t>
  </si>
  <si>
    <t>PASIVOS POR VACACIONES DEVENGADAS</t>
  </si>
  <si>
    <t>INVERSION EN ACCIONES: METODO DE LA CONSTRUCCION SIMULTANEA</t>
  </si>
  <si>
    <t>LA NOVIA VIENE CON, ….........................   SUEGRA</t>
  </si>
  <si>
    <t>LOS GASTOS    VIENEN CON …................. ' - IMPUESTOS</t>
  </si>
  <si>
    <t>LOS INGRESOS VIENEN CON…................. ' + IMPUESTOS</t>
  </si>
  <si>
    <t>inversion en la bolsa de valores</t>
  </si>
  <si>
    <t>efectivo</t>
  </si>
  <si>
    <t>Efecto tributario NIC12</t>
  </si>
  <si>
    <t>ganancia por valor razonable</t>
  </si>
  <si>
    <t>Gasto IR</t>
  </si>
  <si>
    <t>Pasivo por IR - diferido</t>
  </si>
  <si>
    <t>Inversion en acciones</t>
  </si>
  <si>
    <t>PIRD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</si>
</sst>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4"/>
      <color theme="0"/>
      <name val="Calibri"/>
      <family val="2"/>
      <scheme val="minor"/>
    </font>
    <font>
      <b/>
      <sz val="16"/>
      <color rgb="FF202124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0" borderId="0" xfId="0" applyFont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4" borderId="0" xfId="0" applyFont="1" applyFill="1"/>
    <xf numFmtId="0" fontId="2" fillId="7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0" fillId="11" borderId="0" xfId="0" applyFill="1"/>
    <xf numFmtId="0" fontId="3" fillId="11" borderId="0" xfId="0" applyFont="1" applyFill="1"/>
    <xf numFmtId="164" fontId="0" fillId="0" borderId="0" xfId="2" applyNumberFormat="1" applyFont="1"/>
    <xf numFmtId="165" fontId="0" fillId="0" borderId="0" xfId="1" applyNumberFormat="1" applyFont="1" applyBorder="1"/>
    <xf numFmtId="0" fontId="0" fillId="0" borderId="5" xfId="0" applyBorder="1" applyAlignment="1">
      <alignment horizontal="center"/>
    </xf>
    <xf numFmtId="3" fontId="0" fillId="0" borderId="5" xfId="0" applyNumberFormat="1" applyBorder="1"/>
    <xf numFmtId="165" fontId="0" fillId="0" borderId="5" xfId="1" applyNumberFormat="1" applyFont="1" applyBorder="1"/>
    <xf numFmtId="165" fontId="4" fillId="0" borderId="0" xfId="1" applyNumberFormat="1" applyFont="1"/>
    <xf numFmtId="165" fontId="5" fillId="0" borderId="0" xfId="1" applyNumberFormat="1" applyFont="1"/>
    <xf numFmtId="165" fontId="8" fillId="0" borderId="0" xfId="1" applyNumberFormat="1" applyFont="1"/>
    <xf numFmtId="165" fontId="7" fillId="12" borderId="2" xfId="1" applyNumberFormat="1" applyFont="1" applyFill="1" applyBorder="1" applyAlignment="1">
      <alignment horizontal="center"/>
    </xf>
    <xf numFmtId="165" fontId="7" fillId="12" borderId="3" xfId="1" applyNumberFormat="1" applyFont="1" applyFill="1" applyBorder="1" applyAlignment="1">
      <alignment horizontal="center"/>
    </xf>
    <xf numFmtId="165" fontId="4" fillId="0" borderId="4" xfId="1" applyNumberFormat="1" applyFont="1" applyBorder="1"/>
    <xf numFmtId="165" fontId="4" fillId="0" borderId="0" xfId="1" applyNumberFormat="1" applyFont="1" applyBorder="1"/>
    <xf numFmtId="165" fontId="4" fillId="0" borderId="5" xfId="1" applyNumberFormat="1" applyFont="1" applyBorder="1"/>
    <xf numFmtId="165" fontId="5" fillId="0" borderId="4" xfId="1" applyNumberFormat="1" applyFont="1" applyBorder="1"/>
    <xf numFmtId="165" fontId="5" fillId="0" borderId="7" xfId="1" applyNumberFormat="1" applyFont="1" applyBorder="1"/>
    <xf numFmtId="165" fontId="5" fillId="13" borderId="1" xfId="1" applyNumberFormat="1" applyFont="1" applyFill="1" applyBorder="1"/>
    <xf numFmtId="165" fontId="4" fillId="13" borderId="2" xfId="1" applyNumberFormat="1" applyFont="1" applyFill="1" applyBorder="1"/>
    <xf numFmtId="165" fontId="5" fillId="0" borderId="0" xfId="1" applyNumberFormat="1" applyFont="1" applyBorder="1"/>
    <xf numFmtId="165" fontId="5" fillId="0" borderId="5" xfId="1" applyNumberFormat="1" applyFont="1" applyBorder="1"/>
    <xf numFmtId="165" fontId="4" fillId="0" borderId="0" xfId="1" applyNumberFormat="1" applyFont="1" applyAlignment="1">
      <alignment horizontal="right"/>
    </xf>
    <xf numFmtId="165" fontId="8" fillId="13" borderId="4" xfId="1" applyNumberFormat="1" applyFont="1" applyFill="1" applyBorder="1"/>
    <xf numFmtId="165" fontId="8" fillId="13" borderId="0" xfId="1" applyNumberFormat="1" applyFont="1" applyFill="1" applyBorder="1"/>
    <xf numFmtId="165" fontId="8" fillId="13" borderId="5" xfId="1" applyNumberFormat="1" applyFont="1" applyFill="1" applyBorder="1"/>
    <xf numFmtId="165" fontId="8" fillId="13" borderId="6" xfId="1" applyNumberFormat="1" applyFont="1" applyFill="1" applyBorder="1"/>
    <xf numFmtId="165" fontId="4" fillId="13" borderId="7" xfId="1" applyNumberFormat="1" applyFont="1" applyFill="1" applyBorder="1"/>
    <xf numFmtId="165" fontId="8" fillId="13" borderId="7" xfId="1" applyNumberFormat="1" applyFont="1" applyFill="1" applyBorder="1"/>
    <xf numFmtId="165" fontId="5" fillId="13" borderId="7" xfId="1" applyNumberFormat="1" applyFont="1" applyFill="1" applyBorder="1"/>
    <xf numFmtId="165" fontId="5" fillId="13" borderId="8" xfId="1" applyNumberFormat="1" applyFont="1" applyFill="1" applyBorder="1"/>
    <xf numFmtId="165" fontId="4" fillId="8" borderId="0" xfId="1" applyNumberFormat="1" applyFont="1" applyFill="1" applyBorder="1"/>
    <xf numFmtId="165" fontId="4" fillId="8" borderId="9" xfId="1" applyNumberFormat="1" applyFont="1" applyFill="1" applyBorder="1"/>
    <xf numFmtId="165" fontId="8" fillId="13" borderId="10" xfId="1" applyNumberFormat="1" applyFont="1" applyFill="1" applyBorder="1"/>
    <xf numFmtId="165" fontId="4" fillId="13" borderId="11" xfId="1" applyNumberFormat="1" applyFont="1" applyFill="1" applyBorder="1"/>
    <xf numFmtId="165" fontId="8" fillId="13" borderId="11" xfId="1" applyNumberFormat="1" applyFont="1" applyFill="1" applyBorder="1"/>
    <xf numFmtId="165" fontId="5" fillId="13" borderId="11" xfId="1" applyNumberFormat="1" applyFont="1" applyFill="1" applyBorder="1"/>
    <xf numFmtId="165" fontId="5" fillId="13" borderId="12" xfId="1" applyNumberFormat="1" applyFont="1" applyFill="1" applyBorder="1"/>
    <xf numFmtId="165" fontId="5" fillId="5" borderId="1" xfId="1" applyNumberFormat="1" applyFont="1" applyFill="1" applyBorder="1"/>
    <xf numFmtId="165" fontId="4" fillId="5" borderId="3" xfId="1" applyNumberFormat="1" applyFont="1" applyFill="1" applyBorder="1"/>
    <xf numFmtId="165" fontId="4" fillId="0" borderId="6" xfId="1" applyNumberFormat="1" applyFont="1" applyBorder="1"/>
    <xf numFmtId="165" fontId="4" fillId="0" borderId="8" xfId="1" applyNumberFormat="1" applyFont="1" applyBorder="1"/>
    <xf numFmtId="165" fontId="4" fillId="8" borderId="5" xfId="1" applyNumberFormat="1" applyFont="1" applyFill="1" applyBorder="1"/>
    <xf numFmtId="165" fontId="4" fillId="8" borderId="13" xfId="1" applyNumberFormat="1" applyFont="1" applyFill="1" applyBorder="1"/>
    <xf numFmtId="165" fontId="4" fillId="8" borderId="14" xfId="1" applyNumberFormat="1" applyFont="1" applyFill="1" applyBorder="1"/>
    <xf numFmtId="165" fontId="5" fillId="0" borderId="10" xfId="1" applyNumberFormat="1" applyFont="1" applyBorder="1"/>
    <xf numFmtId="9" fontId="5" fillId="0" borderId="12" xfId="2" applyFont="1" applyBorder="1"/>
    <xf numFmtId="165" fontId="5" fillId="0" borderId="6" xfId="1" applyNumberFormat="1" applyFont="1" applyBorder="1"/>
    <xf numFmtId="165" fontId="5" fillId="14" borderId="7" xfId="1" applyNumberFormat="1" applyFont="1" applyFill="1" applyBorder="1"/>
    <xf numFmtId="165" fontId="5" fillId="15" borderId="7" xfId="1" applyNumberFormat="1" applyFont="1" applyFill="1" applyBorder="1"/>
    <xf numFmtId="165" fontId="5" fillId="15" borderId="8" xfId="1" applyNumberFormat="1" applyFont="1" applyFill="1" applyBorder="1"/>
    <xf numFmtId="10" fontId="5" fillId="0" borderId="7" xfId="2" applyNumberFormat="1" applyFont="1" applyBorder="1"/>
    <xf numFmtId="10" fontId="5" fillId="0" borderId="8" xfId="2" applyNumberFormat="1" applyFont="1" applyBorder="1"/>
    <xf numFmtId="165" fontId="5" fillId="15" borderId="0" xfId="1" applyNumberFormat="1" applyFont="1" applyFill="1"/>
    <xf numFmtId="165" fontId="5" fillId="13" borderId="10" xfId="1" applyNumberFormat="1" applyFont="1" applyFill="1" applyBorder="1"/>
    <xf numFmtId="165" fontId="7" fillId="12" borderId="11" xfId="1" applyNumberFormat="1" applyFont="1" applyFill="1" applyBorder="1" applyAlignment="1">
      <alignment horizontal="center"/>
    </xf>
    <xf numFmtId="165" fontId="7" fillId="12" borderId="12" xfId="1" applyNumberFormat="1" applyFont="1" applyFill="1" applyBorder="1" applyAlignment="1">
      <alignment horizontal="center"/>
    </xf>
    <xf numFmtId="165" fontId="5" fillId="16" borderId="10" xfId="1" applyNumberFormat="1" applyFont="1" applyFill="1" applyBorder="1"/>
    <xf numFmtId="165" fontId="5" fillId="16" borderId="11" xfId="1" applyNumberFormat="1" applyFont="1" applyFill="1" applyBorder="1"/>
    <xf numFmtId="165" fontId="5" fillId="16" borderId="12" xfId="1" applyNumberFormat="1" applyFont="1" applyFill="1" applyBorder="1"/>
    <xf numFmtId="165" fontId="4" fillId="16" borderId="0" xfId="1" applyNumberFormat="1" applyFont="1" applyFill="1"/>
    <xf numFmtId="165" fontId="8" fillId="13" borderId="12" xfId="1" applyNumberFormat="1" applyFont="1" applyFill="1" applyBorder="1"/>
    <xf numFmtId="0" fontId="10" fillId="7" borderId="0" xfId="0" applyFont="1" applyFill="1"/>
    <xf numFmtId="0" fontId="5" fillId="17" borderId="0" xfId="0" applyFont="1" applyFill="1"/>
    <xf numFmtId="0" fontId="0" fillId="17" borderId="0" xfId="0" applyFill="1"/>
    <xf numFmtId="0" fontId="10" fillId="17" borderId="0" xfId="0" applyFont="1" applyFill="1"/>
    <xf numFmtId="0" fontId="2" fillId="17" borderId="0" xfId="0" applyFont="1" applyFill="1"/>
    <xf numFmtId="0" fontId="2" fillId="9" borderId="0" xfId="0" applyFont="1" applyFill="1"/>
    <xf numFmtId="3" fontId="2" fillId="9" borderId="0" xfId="0" applyNumberFormat="1" applyFont="1" applyFill="1"/>
    <xf numFmtId="0" fontId="0" fillId="10" borderId="2" xfId="0" applyFill="1" applyBorder="1"/>
    <xf numFmtId="0" fontId="0" fillId="10" borderId="3" xfId="0" applyFill="1" applyBorder="1"/>
    <xf numFmtId="0" fontId="0" fillId="10" borderId="0" xfId="0" applyFill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2" fillId="8" borderId="1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2" fillId="10" borderId="0" xfId="0" applyFont="1" applyFill="1"/>
    <xf numFmtId="0" fontId="2" fillId="10" borderId="5" xfId="0" applyFont="1" applyFill="1" applyBorder="1"/>
    <xf numFmtId="0" fontId="0" fillId="0" borderId="0" xfId="0" applyAlignment="1">
      <alignment horizontal="center"/>
    </xf>
    <xf numFmtId="3" fontId="0" fillId="0" borderId="7" xfId="0" applyNumberFormat="1" applyBorder="1"/>
    <xf numFmtId="0" fontId="0" fillId="17" borderId="4" xfId="0" applyFill="1" applyBorder="1"/>
    <xf numFmtId="0" fontId="0" fillId="17" borderId="0" xfId="0" applyFill="1" applyAlignment="1">
      <alignment horizontal="center"/>
    </xf>
    <xf numFmtId="0" fontId="0" fillId="17" borderId="5" xfId="0" applyFill="1" applyBorder="1"/>
    <xf numFmtId="3" fontId="0" fillId="17" borderId="0" xfId="0" applyNumberFormat="1" applyFill="1"/>
    <xf numFmtId="0" fontId="0" fillId="17" borderId="6" xfId="0" applyFill="1" applyBorder="1"/>
    <xf numFmtId="0" fontId="0" fillId="17" borderId="7" xfId="0" applyFill="1" applyBorder="1"/>
    <xf numFmtId="0" fontId="0" fillId="17" borderId="8" xfId="0" applyFill="1" applyBorder="1"/>
    <xf numFmtId="0" fontId="2" fillId="8" borderId="2" xfId="0" applyFont="1" applyFill="1" applyBorder="1"/>
    <xf numFmtId="0" fontId="0" fillId="10" borderId="4" xfId="0" applyFill="1" applyBorder="1"/>
    <xf numFmtId="0" fontId="0" fillId="10" borderId="6" xfId="0" applyFill="1" applyBorder="1"/>
    <xf numFmtId="0" fontId="0" fillId="17" borderId="1" xfId="0" applyFill="1" applyBorder="1"/>
    <xf numFmtId="0" fontId="0" fillId="17" borderId="2" xfId="0" applyFill="1" applyBorder="1"/>
    <xf numFmtId="0" fontId="0" fillId="17" borderId="2" xfId="0" applyFill="1" applyBorder="1" applyAlignment="1">
      <alignment horizontal="center"/>
    </xf>
    <xf numFmtId="0" fontId="0" fillId="17" borderId="3" xfId="0" applyFill="1" applyBorder="1"/>
    <xf numFmtId="3" fontId="0" fillId="17" borderId="7" xfId="0" applyNumberFormat="1" applyFill="1" applyBorder="1"/>
    <xf numFmtId="3" fontId="0" fillId="17" borderId="3" xfId="0" applyNumberFormat="1" applyFill="1" applyBorder="1"/>
    <xf numFmtId="3" fontId="0" fillId="17" borderId="8" xfId="0" applyNumberFormat="1" applyFill="1" applyBorder="1"/>
    <xf numFmtId="164" fontId="0" fillId="17" borderId="5" xfId="0" applyNumberFormat="1" applyFill="1" applyBorder="1"/>
    <xf numFmtId="0" fontId="2" fillId="17" borderId="6" xfId="0" applyFont="1" applyFill="1" applyBorder="1"/>
    <xf numFmtId="3" fontId="2" fillId="17" borderId="8" xfId="0" applyNumberFormat="1" applyFont="1" applyFill="1" applyBorder="1"/>
    <xf numFmtId="0" fontId="2" fillId="0" borderId="6" xfId="0" applyFont="1" applyBorder="1"/>
    <xf numFmtId="0" fontId="2" fillId="8" borderId="4" xfId="0" applyFont="1" applyFill="1" applyBorder="1"/>
    <xf numFmtId="0" fontId="0" fillId="8" borderId="0" xfId="0" applyFill="1"/>
    <xf numFmtId="0" fontId="0" fillId="8" borderId="5" xfId="0" applyFill="1" applyBorder="1"/>
    <xf numFmtId="0" fontId="0" fillId="8" borderId="4" xfId="0" applyFill="1" applyBorder="1"/>
    <xf numFmtId="3" fontId="0" fillId="8" borderId="0" xfId="0" applyNumberFormat="1" applyFill="1"/>
    <xf numFmtId="0" fontId="2" fillId="8" borderId="6" xfId="0" applyFont="1" applyFill="1" applyBorder="1"/>
    <xf numFmtId="0" fontId="0" fillId="8" borderId="7" xfId="0" applyFill="1" applyBorder="1"/>
    <xf numFmtId="0" fontId="0" fillId="8" borderId="8" xfId="0" applyFill="1" applyBorder="1"/>
    <xf numFmtId="3" fontId="2" fillId="0" borderId="0" xfId="0" applyNumberFormat="1" applyFont="1"/>
    <xf numFmtId="0" fontId="0" fillId="8" borderId="0" xfId="0" applyFill="1" applyAlignment="1">
      <alignment horizontal="center"/>
    </xf>
    <xf numFmtId="0" fontId="0" fillId="18" borderId="0" xfId="0" applyFill="1" applyAlignment="1">
      <alignment horizontal="center"/>
    </xf>
    <xf numFmtId="3" fontId="2" fillId="18" borderId="0" xfId="0" applyNumberFormat="1" applyFont="1" applyFill="1"/>
    <xf numFmtId="0" fontId="2" fillId="0" borderId="0" xfId="0" applyFont="1" applyAlignment="1">
      <alignment horizontal="center"/>
    </xf>
    <xf numFmtId="9" fontId="0" fillId="0" borderId="8" xfId="0" applyNumberFormat="1" applyBorder="1"/>
    <xf numFmtId="9" fontId="0" fillId="0" borderId="0" xfId="2" applyFont="1" applyAlignment="1">
      <alignment horizontal="center"/>
    </xf>
    <xf numFmtId="3" fontId="2" fillId="0" borderId="7" xfId="0" applyNumberFormat="1" applyFont="1" applyBorder="1"/>
    <xf numFmtId="0" fontId="2" fillId="0" borderId="10" xfId="0" applyFont="1" applyBorder="1"/>
    <xf numFmtId="0" fontId="0" fillId="0" borderId="11" xfId="0" applyBorder="1"/>
    <xf numFmtId="3" fontId="0" fillId="0" borderId="12" xfId="0" applyNumberFormat="1" applyBorder="1"/>
    <xf numFmtId="0" fontId="0" fillId="18" borderId="1" xfId="0" applyFill="1" applyBorder="1"/>
    <xf numFmtId="0" fontId="0" fillId="18" borderId="2" xfId="0" applyFill="1" applyBorder="1"/>
    <xf numFmtId="3" fontId="0" fillId="18" borderId="2" xfId="0" applyNumberFormat="1" applyFill="1" applyBorder="1"/>
    <xf numFmtId="9" fontId="0" fillId="18" borderId="3" xfId="0" applyNumberFormat="1" applyFill="1" applyBorder="1"/>
    <xf numFmtId="0" fontId="0" fillId="18" borderId="4" xfId="0" applyFill="1" applyBorder="1"/>
    <xf numFmtId="0" fontId="0" fillId="18" borderId="0" xfId="0" applyFill="1"/>
    <xf numFmtId="3" fontId="0" fillId="18" borderId="0" xfId="0" applyNumberFormat="1" applyFill="1"/>
    <xf numFmtId="0" fontId="0" fillId="18" borderId="5" xfId="0" applyFill="1" applyBorder="1"/>
    <xf numFmtId="3" fontId="2" fillId="18" borderId="2" xfId="0" applyNumberFormat="1" applyFont="1" applyFill="1" applyBorder="1"/>
    <xf numFmtId="0" fontId="2" fillId="18" borderId="3" xfId="0" applyFont="1" applyFill="1" applyBorder="1"/>
    <xf numFmtId="0" fontId="2" fillId="18" borderId="7" xfId="0" applyFont="1" applyFill="1" applyBorder="1"/>
    <xf numFmtId="3" fontId="2" fillId="18" borderId="8" xfId="0" applyNumberFormat="1" applyFont="1" applyFill="1" applyBorder="1"/>
    <xf numFmtId="10" fontId="2" fillId="0" borderId="0" xfId="0" applyNumberFormat="1" applyFont="1"/>
    <xf numFmtId="0" fontId="0" fillId="18" borderId="3" xfId="0" applyFill="1" applyBorder="1"/>
    <xf numFmtId="0" fontId="2" fillId="18" borderId="6" xfId="0" applyFont="1" applyFill="1" applyBorder="1"/>
    <xf numFmtId="0" fontId="0" fillId="18" borderId="7" xfId="0" applyFill="1" applyBorder="1"/>
    <xf numFmtId="3" fontId="0" fillId="18" borderId="8" xfId="0" applyNumberFormat="1" applyFill="1" applyBorder="1"/>
    <xf numFmtId="0" fontId="11" fillId="18" borderId="1" xfId="0" applyFont="1" applyFill="1" applyBorder="1"/>
    <xf numFmtId="0" fontId="11" fillId="0" borderId="1" xfId="0" applyFont="1" applyBorder="1"/>
    <xf numFmtId="0" fontId="2" fillId="18" borderId="0" xfId="0" applyFont="1" applyFill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/>
    <xf numFmtId="9" fontId="2" fillId="0" borderId="0" xfId="2" applyFont="1"/>
    <xf numFmtId="165" fontId="0" fillId="18" borderId="0" xfId="1" applyNumberFormat="1" applyFon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165" fontId="0" fillId="7" borderId="0" xfId="1" applyNumberFormat="1" applyFont="1" applyFill="1"/>
    <xf numFmtId="165" fontId="2" fillId="17" borderId="16" xfId="1" applyNumberFormat="1" applyFont="1" applyFill="1" applyBorder="1"/>
    <xf numFmtId="165" fontId="2" fillId="17" borderId="9" xfId="1" applyNumberFormat="1" applyFont="1" applyFill="1" applyBorder="1"/>
    <xf numFmtId="165" fontId="2" fillId="17" borderId="17" xfId="1" applyNumberFormat="1" applyFont="1" applyFill="1" applyBorder="1"/>
    <xf numFmtId="165" fontId="0" fillId="0" borderId="18" xfId="1" applyNumberFormat="1" applyFont="1" applyBorder="1"/>
    <xf numFmtId="165" fontId="0" fillId="0" borderId="19" xfId="1" applyNumberFormat="1" applyFont="1" applyBorder="1"/>
    <xf numFmtId="165" fontId="0" fillId="0" borderId="20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25" xfId="1" applyNumberFormat="1" applyFont="1" applyBorder="1"/>
    <xf numFmtId="165" fontId="0" fillId="19" borderId="18" xfId="1" applyNumberFormat="1" applyFont="1" applyFill="1" applyBorder="1"/>
    <xf numFmtId="165" fontId="0" fillId="19" borderId="19" xfId="1" applyNumberFormat="1" applyFont="1" applyFill="1" applyBorder="1"/>
    <xf numFmtId="165" fontId="0" fillId="19" borderId="20" xfId="1" applyNumberFormat="1" applyFont="1" applyFill="1" applyBorder="1"/>
    <xf numFmtId="165" fontId="0" fillId="19" borderId="21" xfId="1" applyNumberFormat="1" applyFont="1" applyFill="1" applyBorder="1"/>
    <xf numFmtId="165" fontId="0" fillId="19" borderId="0" xfId="1" applyNumberFormat="1" applyFont="1" applyFill="1" applyBorder="1"/>
    <xf numFmtId="165" fontId="0" fillId="19" borderId="22" xfId="1" applyNumberFormat="1" applyFont="1" applyFill="1" applyBorder="1"/>
    <xf numFmtId="165" fontId="0" fillId="19" borderId="9" xfId="1" applyNumberFormat="1" applyFont="1" applyFill="1" applyBorder="1"/>
    <xf numFmtId="165" fontId="2" fillId="0" borderId="1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19" borderId="13" xfId="1" applyNumberFormat="1" applyFont="1" applyFill="1" applyBorder="1"/>
    <xf numFmtId="165" fontId="0" fillId="19" borderId="14" xfId="1" applyNumberFormat="1" applyFont="1" applyFill="1" applyBorder="1"/>
    <xf numFmtId="165" fontId="0" fillId="0" borderId="4" xfId="1" applyNumberFormat="1" applyFont="1" applyBorder="1"/>
    <xf numFmtId="165" fontId="2" fillId="20" borderId="1" xfId="1" applyNumberFormat="1" applyFont="1" applyFill="1" applyBorder="1"/>
    <xf numFmtId="165" fontId="0" fillId="20" borderId="2" xfId="1" applyNumberFormat="1" applyFont="1" applyFill="1" applyBorder="1"/>
    <xf numFmtId="165" fontId="0" fillId="20" borderId="3" xfId="1" applyNumberFormat="1" applyFont="1" applyFill="1" applyBorder="1"/>
    <xf numFmtId="165" fontId="11" fillId="0" borderId="0" xfId="1" applyNumberFormat="1" applyFont="1"/>
    <xf numFmtId="165" fontId="2" fillId="19" borderId="9" xfId="1" applyNumberFormat="1" applyFont="1" applyFill="1" applyBorder="1"/>
    <xf numFmtId="165" fontId="2" fillId="14" borderId="13" xfId="1" applyNumberFormat="1" applyFont="1" applyFill="1" applyBorder="1"/>
    <xf numFmtId="165" fontId="2" fillId="14" borderId="9" xfId="1" applyNumberFormat="1" applyFont="1" applyFill="1" applyBorder="1"/>
    <xf numFmtId="165" fontId="2" fillId="14" borderId="14" xfId="1" applyNumberFormat="1" applyFont="1" applyFill="1" applyBorder="1"/>
    <xf numFmtId="165" fontId="2" fillId="19" borderId="16" xfId="1" applyNumberFormat="1" applyFont="1" applyFill="1" applyBorder="1"/>
    <xf numFmtId="165" fontId="2" fillId="19" borderId="17" xfId="1" applyNumberFormat="1" applyFont="1" applyFill="1" applyBorder="1"/>
    <xf numFmtId="165" fontId="2" fillId="14" borderId="26" xfId="1" applyNumberFormat="1" applyFont="1" applyFill="1" applyBorder="1"/>
    <xf numFmtId="165" fontId="2" fillId="14" borderId="27" xfId="1" applyNumberFormat="1" applyFont="1" applyFill="1" applyBorder="1"/>
    <xf numFmtId="165" fontId="2" fillId="14" borderId="28" xfId="1" applyNumberFormat="1" applyFont="1" applyFill="1" applyBorder="1"/>
    <xf numFmtId="164" fontId="2" fillId="0" borderId="0" xfId="2" applyNumberFormat="1" applyFont="1"/>
    <xf numFmtId="164" fontId="0" fillId="0" borderId="0" xfId="1" applyNumberFormat="1" applyFont="1"/>
    <xf numFmtId="165" fontId="2" fillId="15" borderId="0" xfId="1" applyNumberFormat="1" applyFont="1" applyFill="1"/>
    <xf numFmtId="165" fontId="0" fillId="15" borderId="0" xfId="1" applyNumberFormat="1" applyFont="1" applyFill="1"/>
    <xf numFmtId="164" fontId="2" fillId="15" borderId="0" xfId="2" applyNumberFormat="1" applyFont="1" applyFill="1"/>
    <xf numFmtId="164" fontId="0" fillId="15" borderId="0" xfId="1" applyNumberFormat="1" applyFont="1" applyFill="1"/>
    <xf numFmtId="165" fontId="11" fillId="0" borderId="4" xfId="1" applyNumberFormat="1" applyFont="1" applyBorder="1"/>
    <xf numFmtId="165" fontId="11" fillId="0" borderId="0" xfId="1" applyNumberFormat="1" applyFont="1" applyBorder="1"/>
    <xf numFmtId="165" fontId="11" fillId="0" borderId="5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2" fillId="0" borderId="10" xfId="1" applyNumberFormat="1" applyFont="1" applyBorder="1"/>
    <xf numFmtId="165" fontId="2" fillId="0" borderId="11" xfId="1" applyNumberFormat="1" applyFont="1" applyBorder="1"/>
    <xf numFmtId="165" fontId="2" fillId="15" borderId="30" xfId="1" applyNumberFormat="1" applyFont="1" applyFill="1" applyBorder="1"/>
    <xf numFmtId="165" fontId="2" fillId="15" borderId="11" xfId="1" applyNumberFormat="1" applyFont="1" applyFill="1" applyBorder="1"/>
    <xf numFmtId="165" fontId="2" fillId="15" borderId="12" xfId="1" applyNumberFormat="1" applyFont="1" applyFill="1" applyBorder="1"/>
    <xf numFmtId="165" fontId="2" fillId="15" borderId="31" xfId="1" applyNumberFormat="1" applyFont="1" applyFill="1" applyBorder="1"/>
    <xf numFmtId="165" fontId="2" fillId="0" borderId="29" xfId="1" applyNumberFormat="1" applyFont="1" applyBorder="1" applyAlignment="1">
      <alignment horizontal="center"/>
    </xf>
    <xf numFmtId="165" fontId="0" fillId="0" borderId="1" xfId="1" applyNumberFormat="1" applyFont="1" applyBorder="1"/>
    <xf numFmtId="165" fontId="2" fillId="0" borderId="0" xfId="1" applyNumberFormat="1" applyFont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2" fillId="15" borderId="10" xfId="1" applyNumberFormat="1" applyFont="1" applyFill="1" applyBorder="1" applyAlignment="1">
      <alignment horizontal="center"/>
    </xf>
    <xf numFmtId="165" fontId="2" fillId="15" borderId="11" xfId="1" applyNumberFormat="1" applyFont="1" applyFill="1" applyBorder="1" applyAlignment="1">
      <alignment horizontal="center"/>
    </xf>
    <xf numFmtId="165" fontId="2" fillId="15" borderId="12" xfId="1" applyNumberFormat="1" applyFont="1" applyFill="1" applyBorder="1" applyAlignment="1">
      <alignment horizontal="center"/>
    </xf>
    <xf numFmtId="165" fontId="2" fillId="15" borderId="29" xfId="1" applyNumberFormat="1" applyFont="1" applyFill="1" applyBorder="1"/>
    <xf numFmtId="165" fontId="2" fillId="15" borderId="10" xfId="1" applyNumberFormat="1" applyFont="1" applyFill="1" applyBorder="1"/>
    <xf numFmtId="165" fontId="0" fillId="15" borderId="11" xfId="1" applyNumberFormat="1" applyFont="1" applyFill="1" applyBorder="1"/>
    <xf numFmtId="165" fontId="0" fillId="15" borderId="12" xfId="1" applyNumberFormat="1" applyFont="1" applyFill="1" applyBorder="1"/>
    <xf numFmtId="165" fontId="12" fillId="0" borderId="4" xfId="1" applyNumberFormat="1" applyFont="1" applyBorder="1"/>
    <xf numFmtId="165" fontId="12" fillId="0" borderId="0" xfId="1" applyNumberFormat="1" applyFont="1" applyBorder="1"/>
    <xf numFmtId="165" fontId="12" fillId="0" borderId="5" xfId="1" applyNumberFormat="1" applyFont="1" applyBorder="1"/>
    <xf numFmtId="165" fontId="2" fillId="15" borderId="16" xfId="1" applyNumberFormat="1" applyFont="1" applyFill="1" applyBorder="1"/>
    <xf numFmtId="165" fontId="0" fillId="15" borderId="9" xfId="1" applyNumberFormat="1" applyFont="1" applyFill="1" applyBorder="1"/>
    <xf numFmtId="164" fontId="2" fillId="15" borderId="9" xfId="2" applyNumberFormat="1" applyFont="1" applyFill="1" applyBorder="1"/>
    <xf numFmtId="164" fontId="0" fillId="15" borderId="9" xfId="1" applyNumberFormat="1" applyFont="1" applyFill="1" applyBorder="1"/>
    <xf numFmtId="164" fontId="2" fillId="15" borderId="17" xfId="2" applyNumberFormat="1" applyFont="1" applyFill="1" applyBorder="1"/>
    <xf numFmtId="165" fontId="9" fillId="21" borderId="10" xfId="1" applyNumberFormat="1" applyFont="1" applyFill="1" applyBorder="1"/>
    <xf numFmtId="165" fontId="3" fillId="21" borderId="11" xfId="1" applyNumberFormat="1" applyFont="1" applyFill="1" applyBorder="1"/>
    <xf numFmtId="164" fontId="9" fillId="21" borderId="11" xfId="2" applyNumberFormat="1" applyFont="1" applyFill="1" applyBorder="1"/>
    <xf numFmtId="164" fontId="3" fillId="21" borderId="11" xfId="1" applyNumberFormat="1" applyFont="1" applyFill="1" applyBorder="1"/>
    <xf numFmtId="164" fontId="9" fillId="21" borderId="12" xfId="2" applyNumberFormat="1" applyFont="1" applyFill="1" applyBorder="1"/>
    <xf numFmtId="165" fontId="0" fillId="0" borderId="8" xfId="1" applyNumberFormat="1" applyFont="1" applyBorder="1"/>
    <xf numFmtId="14" fontId="2" fillId="0" borderId="15" xfId="1" applyNumberFormat="1" applyFont="1" applyBorder="1"/>
    <xf numFmtId="165" fontId="2" fillId="20" borderId="2" xfId="1" applyNumberFormat="1" applyFont="1" applyFill="1" applyBorder="1"/>
    <xf numFmtId="165" fontId="0" fillId="0" borderId="30" xfId="1" applyNumberFormat="1" applyFont="1" applyBorder="1"/>
    <xf numFmtId="165" fontId="2" fillId="0" borderId="15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22" borderId="1" xfId="1" applyNumberFormat="1" applyFont="1" applyFill="1" applyBorder="1"/>
    <xf numFmtId="165" fontId="0" fillId="22" borderId="2" xfId="1" applyNumberFormat="1" applyFont="1" applyFill="1" applyBorder="1"/>
    <xf numFmtId="165" fontId="0" fillId="22" borderId="3" xfId="1" applyNumberFormat="1" applyFont="1" applyFill="1" applyBorder="1"/>
    <xf numFmtId="165" fontId="0" fillId="22" borderId="4" xfId="1" applyNumberFormat="1" applyFont="1" applyFill="1" applyBorder="1"/>
    <xf numFmtId="165" fontId="0" fillId="22" borderId="0" xfId="1" applyNumberFormat="1" applyFont="1" applyFill="1" applyBorder="1"/>
    <xf numFmtId="165" fontId="0" fillId="22" borderId="5" xfId="1" applyNumberFormat="1" applyFont="1" applyFill="1" applyBorder="1"/>
    <xf numFmtId="165" fontId="11" fillId="22" borderId="0" xfId="1" applyNumberFormat="1" applyFont="1" applyFill="1" applyBorder="1"/>
    <xf numFmtId="165" fontId="2" fillId="22" borderId="4" xfId="1" applyNumberFormat="1" applyFont="1" applyFill="1" applyBorder="1"/>
    <xf numFmtId="165" fontId="0" fillId="22" borderId="6" xfId="1" applyNumberFormat="1" applyFont="1" applyFill="1" applyBorder="1"/>
    <xf numFmtId="165" fontId="0" fillId="22" borderId="7" xfId="1" applyNumberFormat="1" applyFont="1" applyFill="1" applyBorder="1"/>
    <xf numFmtId="165" fontId="11" fillId="22" borderId="7" xfId="1" applyNumberFormat="1" applyFont="1" applyFill="1" applyBorder="1"/>
    <xf numFmtId="165" fontId="0" fillId="22" borderId="8" xfId="1" applyNumberFormat="1" applyFont="1" applyFill="1" applyBorder="1"/>
    <xf numFmtId="0" fontId="3" fillId="23" borderId="0" xfId="0" applyFont="1" applyFill="1"/>
    <xf numFmtId="0" fontId="14" fillId="0" borderId="0" xfId="0" applyFont="1"/>
    <xf numFmtId="0" fontId="14" fillId="0" borderId="7" xfId="0" applyFont="1" applyBorder="1"/>
    <xf numFmtId="0" fontId="2" fillId="24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3" fontId="0" fillId="7" borderId="0" xfId="0" applyNumberFormat="1" applyFill="1"/>
    <xf numFmtId="9" fontId="0" fillId="17" borderId="0" xfId="0" applyNumberFormat="1" applyFill="1"/>
    <xf numFmtId="3" fontId="2" fillId="17" borderId="0" xfId="0" applyNumberFormat="1" applyFont="1" applyFill="1"/>
    <xf numFmtId="0" fontId="2" fillId="7" borderId="0" xfId="0" applyFont="1" applyFill="1" applyAlignment="1">
      <alignment horizontal="center"/>
    </xf>
    <xf numFmtId="9" fontId="0" fillId="0" borderId="0" xfId="0" applyNumberFormat="1"/>
    <xf numFmtId="0" fontId="3" fillId="23" borderId="0" xfId="0" applyFont="1" applyFill="1" applyAlignment="1">
      <alignment horizontal="right"/>
    </xf>
    <xf numFmtId="0" fontId="2" fillId="8" borderId="0" xfId="0" applyFont="1" applyFill="1"/>
    <xf numFmtId="0" fontId="15" fillId="0" borderId="0" xfId="0" applyFont="1"/>
    <xf numFmtId="14" fontId="0" fillId="0" borderId="0" xfId="0" applyNumberFormat="1"/>
    <xf numFmtId="3" fontId="2" fillId="7" borderId="0" xfId="0" applyNumberFormat="1" applyFont="1" applyFill="1"/>
    <xf numFmtId="0" fontId="2" fillId="8" borderId="0" xfId="0" applyFont="1" applyFill="1" applyAlignment="1">
      <alignment horizontal="center"/>
    </xf>
    <xf numFmtId="3" fontId="0" fillId="17" borderId="0" xfId="0" applyNumberFormat="1" applyFill="1" applyAlignment="1">
      <alignment horizontal="center"/>
    </xf>
    <xf numFmtId="165" fontId="2" fillId="5" borderId="0" xfId="1" applyNumberFormat="1" applyFont="1" applyFill="1"/>
    <xf numFmtId="165" fontId="0" fillId="5" borderId="0" xfId="1" applyNumberFormat="1" applyFont="1" applyFill="1"/>
    <xf numFmtId="165" fontId="11" fillId="5" borderId="0" xfId="1" applyNumberFormat="1" applyFont="1" applyFill="1"/>
    <xf numFmtId="165" fontId="2" fillId="5" borderId="9" xfId="1" applyNumberFormat="1" applyFont="1" applyFill="1" applyBorder="1"/>
    <xf numFmtId="165" fontId="2" fillId="5" borderId="1" xfId="1" applyNumberFormat="1" applyFont="1" applyFill="1" applyBorder="1"/>
    <xf numFmtId="165" fontId="0" fillId="5" borderId="2" xfId="1" applyNumberFormat="1" applyFont="1" applyFill="1" applyBorder="1"/>
    <xf numFmtId="165" fontId="0" fillId="5" borderId="3" xfId="1" applyNumberFormat="1" applyFont="1" applyFill="1" applyBorder="1"/>
    <xf numFmtId="165" fontId="11" fillId="7" borderId="4" xfId="1" applyNumberFormat="1" applyFont="1" applyFill="1" applyBorder="1"/>
    <xf numFmtId="165" fontId="11" fillId="7" borderId="0" xfId="1" applyNumberFormat="1" applyFont="1" applyFill="1" applyBorder="1"/>
    <xf numFmtId="165" fontId="11" fillId="7" borderId="5" xfId="1" applyNumberFormat="1" applyFont="1" applyFill="1" applyBorder="1"/>
    <xf numFmtId="165" fontId="0" fillId="7" borderId="4" xfId="1" applyNumberFormat="1" applyFont="1" applyFill="1" applyBorder="1"/>
    <xf numFmtId="165" fontId="0" fillId="7" borderId="0" xfId="1" applyNumberFormat="1" applyFont="1" applyFill="1" applyBorder="1"/>
    <xf numFmtId="165" fontId="0" fillId="7" borderId="5" xfId="1" applyNumberFormat="1" applyFont="1" applyFill="1" applyBorder="1"/>
    <xf numFmtId="165" fontId="2" fillId="5" borderId="13" xfId="1" applyNumberFormat="1" applyFont="1" applyFill="1" applyBorder="1"/>
    <xf numFmtId="165" fontId="2" fillId="5" borderId="14" xfId="1" applyNumberFormat="1" applyFont="1" applyFill="1" applyBorder="1"/>
    <xf numFmtId="165" fontId="2" fillId="13" borderId="13" xfId="1" applyNumberFormat="1" applyFont="1" applyFill="1" applyBorder="1"/>
    <xf numFmtId="165" fontId="2" fillId="13" borderId="9" xfId="1" applyNumberFormat="1" applyFont="1" applyFill="1" applyBorder="1"/>
    <xf numFmtId="165" fontId="2" fillId="13" borderId="14" xfId="1" applyNumberFormat="1" applyFont="1" applyFill="1" applyBorder="1"/>
    <xf numFmtId="165" fontId="2" fillId="17" borderId="32" xfId="1" applyNumberFormat="1" applyFont="1" applyFill="1" applyBorder="1"/>
    <xf numFmtId="165" fontId="2" fillId="17" borderId="33" xfId="1" applyNumberFormat="1" applyFont="1" applyFill="1" applyBorder="1"/>
    <xf numFmtId="165" fontId="2" fillId="17" borderId="34" xfId="1" applyNumberFormat="1" applyFont="1" applyFill="1" applyBorder="1"/>
    <xf numFmtId="165" fontId="0" fillId="19" borderId="35" xfId="1" applyNumberFormat="1" applyFont="1" applyFill="1" applyBorder="1"/>
    <xf numFmtId="165" fontId="0" fillId="19" borderId="36" xfId="1" applyNumberFormat="1" applyFont="1" applyFill="1" applyBorder="1"/>
    <xf numFmtId="165" fontId="0" fillId="19" borderId="4" xfId="1" applyNumberFormat="1" applyFont="1" applyFill="1" applyBorder="1"/>
    <xf numFmtId="165" fontId="0" fillId="19" borderId="5" xfId="1" applyNumberFormat="1" applyFont="1" applyFill="1" applyBorder="1"/>
    <xf numFmtId="165" fontId="0" fillId="0" borderId="35" xfId="1" applyNumberFormat="1" applyFont="1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165" fontId="0" fillId="0" borderId="38" xfId="1" applyNumberFormat="1" applyFont="1" applyBorder="1"/>
    <xf numFmtId="165" fontId="2" fillId="19" borderId="26" xfId="1" applyNumberFormat="1" applyFont="1" applyFill="1" applyBorder="1"/>
    <xf numFmtId="165" fontId="2" fillId="19" borderId="27" xfId="1" applyNumberFormat="1" applyFont="1" applyFill="1" applyBorder="1"/>
    <xf numFmtId="165" fontId="2" fillId="19" borderId="28" xfId="1" applyNumberFormat="1" applyFont="1" applyFill="1" applyBorder="1"/>
    <xf numFmtId="165" fontId="2" fillId="13" borderId="0" xfId="1" applyNumberFormat="1" applyFont="1" applyFill="1"/>
    <xf numFmtId="9" fontId="2" fillId="13" borderId="0" xfId="2" applyFont="1" applyFill="1"/>
    <xf numFmtId="165" fontId="2" fillId="13" borderId="1" xfId="1" applyNumberFormat="1" applyFont="1" applyFill="1" applyBorder="1"/>
    <xf numFmtId="165" fontId="0" fillId="13" borderId="2" xfId="1" applyNumberFormat="1" applyFont="1" applyFill="1" applyBorder="1"/>
    <xf numFmtId="164" fontId="2" fillId="13" borderId="2" xfId="2" applyNumberFormat="1" applyFont="1" applyFill="1" applyBorder="1"/>
    <xf numFmtId="164" fontId="0" fillId="13" borderId="2" xfId="1" applyNumberFormat="1" applyFont="1" applyFill="1" applyBorder="1"/>
    <xf numFmtId="164" fontId="2" fillId="13" borderId="3" xfId="2" applyNumberFormat="1" applyFont="1" applyFill="1" applyBorder="1"/>
    <xf numFmtId="165" fontId="2" fillId="13" borderId="4" xfId="1" applyNumberFormat="1" applyFont="1" applyFill="1" applyBorder="1"/>
    <xf numFmtId="165" fontId="0" fillId="13" borderId="0" xfId="1" applyNumberFormat="1" applyFont="1" applyFill="1" applyBorder="1"/>
    <xf numFmtId="164" fontId="2" fillId="13" borderId="0" xfId="2" applyNumberFormat="1" applyFont="1" applyFill="1" applyBorder="1"/>
    <xf numFmtId="164" fontId="0" fillId="13" borderId="0" xfId="1" applyNumberFormat="1" applyFont="1" applyFill="1" applyBorder="1"/>
    <xf numFmtId="164" fontId="2" fillId="13" borderId="5" xfId="2" applyNumberFormat="1" applyFont="1" applyFill="1" applyBorder="1"/>
    <xf numFmtId="165" fontId="2" fillId="25" borderId="6" xfId="1" applyNumberFormat="1" applyFont="1" applyFill="1" applyBorder="1"/>
    <xf numFmtId="165" fontId="0" fillId="25" borderId="7" xfId="1" applyNumberFormat="1" applyFont="1" applyFill="1" applyBorder="1"/>
    <xf numFmtId="164" fontId="2" fillId="25" borderId="7" xfId="2" applyNumberFormat="1" applyFont="1" applyFill="1" applyBorder="1"/>
    <xf numFmtId="164" fontId="0" fillId="25" borderId="7" xfId="1" applyNumberFormat="1" applyFont="1" applyFill="1" applyBorder="1"/>
    <xf numFmtId="164" fontId="2" fillId="25" borderId="8" xfId="2" applyNumberFormat="1" applyFont="1" applyFill="1" applyBorder="1"/>
    <xf numFmtId="165" fontId="15" fillId="0" borderId="4" xfId="1" applyNumberFormat="1" applyFont="1" applyBorder="1"/>
    <xf numFmtId="165" fontId="15" fillId="0" borderId="0" xfId="1" applyNumberFormat="1" applyFont="1" applyBorder="1"/>
    <xf numFmtId="165" fontId="15" fillId="0" borderId="6" xfId="1" applyNumberFormat="1" applyFont="1" applyBorder="1"/>
    <xf numFmtId="165" fontId="15" fillId="0" borderId="7" xfId="1" applyNumberFormat="1" applyFont="1" applyBorder="1"/>
    <xf numFmtId="165" fontId="0" fillId="25" borderId="0" xfId="1" applyNumberFormat="1" applyFont="1" applyFill="1" applyBorder="1"/>
    <xf numFmtId="165" fontId="0" fillId="13" borderId="7" xfId="1" applyNumberFormat="1" applyFont="1" applyFill="1" applyBorder="1"/>
    <xf numFmtId="165" fontId="2" fillId="25" borderId="10" xfId="1" applyNumberFormat="1" applyFont="1" applyFill="1" applyBorder="1"/>
    <xf numFmtId="165" fontId="2" fillId="25" borderId="11" xfId="1" applyNumberFormat="1" applyFont="1" applyFill="1" applyBorder="1"/>
    <xf numFmtId="165" fontId="2" fillId="25" borderId="39" xfId="1" applyNumberFormat="1" applyFont="1" applyFill="1" applyBorder="1"/>
    <xf numFmtId="165" fontId="2" fillId="25" borderId="40" xfId="1" applyNumberFormat="1" applyFont="1" applyFill="1" applyBorder="1"/>
    <xf numFmtId="165" fontId="2" fillId="25" borderId="12" xfId="1" applyNumberFormat="1" applyFont="1" applyFill="1" applyBorder="1"/>
    <xf numFmtId="165" fontId="1" fillId="0" borderId="0" xfId="1" applyNumberFormat="1" applyFont="1"/>
    <xf numFmtId="165" fontId="2" fillId="15" borderId="15" xfId="1" applyNumberFormat="1" applyFont="1" applyFill="1" applyBorder="1"/>
    <xf numFmtId="165" fontId="2" fillId="0" borderId="3" xfId="1" applyNumberFormat="1" applyFont="1" applyBorder="1" applyAlignment="1">
      <alignment horizontal="center"/>
    </xf>
    <xf numFmtId="165" fontId="0" fillId="0" borderId="29" xfId="1" applyNumberFormat="1" applyFont="1" applyBorder="1"/>
    <xf numFmtId="165" fontId="0" fillId="0" borderId="31" xfId="1" applyNumberFormat="1" applyFont="1" applyBorder="1"/>
    <xf numFmtId="165" fontId="9" fillId="26" borderId="4" xfId="1" applyNumberFormat="1" applyFont="1" applyFill="1" applyBorder="1"/>
    <xf numFmtId="165" fontId="9" fillId="26" borderId="0" xfId="1" applyNumberFormat="1" applyFont="1" applyFill="1" applyBorder="1"/>
    <xf numFmtId="165" fontId="9" fillId="26" borderId="5" xfId="1" applyNumberFormat="1" applyFont="1" applyFill="1" applyBorder="1"/>
    <xf numFmtId="165" fontId="2" fillId="26" borderId="0" xfId="1" applyNumberFormat="1" applyFont="1" applyFill="1"/>
    <xf numFmtId="9" fontId="2" fillId="26" borderId="0" xfId="2" applyFont="1" applyFill="1"/>
    <xf numFmtId="9" fontId="0" fillId="0" borderId="0" xfId="2" applyFont="1"/>
    <xf numFmtId="165" fontId="16" fillId="0" borderId="0" xfId="1" applyNumberFormat="1" applyFont="1"/>
    <xf numFmtId="165" fontId="0" fillId="17" borderId="0" xfId="1" applyNumberFormat="1" applyFont="1" applyFill="1" applyAlignment="1">
      <alignment horizontal="center"/>
    </xf>
    <xf numFmtId="9" fontId="0" fillId="0" borderId="19" xfId="2" applyFont="1" applyBorder="1"/>
    <xf numFmtId="165" fontId="0" fillId="0" borderId="21" xfId="1" applyNumberFormat="1" applyFont="1" applyBorder="1"/>
    <xf numFmtId="165" fontId="0" fillId="0" borderId="22" xfId="1" applyNumberFormat="1" applyFont="1" applyBorder="1"/>
    <xf numFmtId="165" fontId="0" fillId="7" borderId="1" xfId="1" applyNumberFormat="1" applyFont="1" applyFill="1" applyBorder="1"/>
    <xf numFmtId="165" fontId="0" fillId="7" borderId="2" xfId="1" applyNumberFormat="1" applyFont="1" applyFill="1" applyBorder="1"/>
    <xf numFmtId="165" fontId="0" fillId="7" borderId="3" xfId="1" applyNumberFormat="1" applyFont="1" applyFill="1" applyBorder="1"/>
    <xf numFmtId="165" fontId="0" fillId="7" borderId="6" xfId="1" applyNumberFormat="1" applyFont="1" applyFill="1" applyBorder="1"/>
    <xf numFmtId="165" fontId="0" fillId="7" borderId="7" xfId="1" applyNumberFormat="1" applyFont="1" applyFill="1" applyBorder="1"/>
    <xf numFmtId="165" fontId="0" fillId="7" borderId="8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7" borderId="0" xfId="1" applyNumberFormat="1" applyFont="1" applyFill="1"/>
    <xf numFmtId="165" fontId="13" fillId="0" borderId="0" xfId="1" applyNumberFormat="1" applyFont="1"/>
    <xf numFmtId="165" fontId="13" fillId="7" borderId="0" xfId="1" applyNumberFormat="1" applyFont="1" applyFill="1" applyBorder="1"/>
    <xf numFmtId="165" fontId="0" fillId="7" borderId="10" xfId="1" applyNumberFormat="1" applyFont="1" applyFill="1" applyBorder="1"/>
    <xf numFmtId="165" fontId="0" fillId="7" borderId="11" xfId="1" applyNumberFormat="1" applyFont="1" applyFill="1" applyBorder="1"/>
    <xf numFmtId="165" fontId="0" fillId="7" borderId="12" xfId="1" applyNumberFormat="1" applyFont="1" applyFill="1" applyBorder="1"/>
    <xf numFmtId="9" fontId="2" fillId="0" borderId="2" xfId="2" applyFont="1" applyBorder="1" applyAlignment="1">
      <alignment horizontal="center"/>
    </xf>
    <xf numFmtId="165" fontId="2" fillId="19" borderId="14" xfId="1" applyNumberFormat="1" applyFont="1" applyFill="1" applyBorder="1"/>
    <xf numFmtId="165" fontId="13" fillId="0" borderId="4" xfId="1" applyNumberFormat="1" applyFont="1" applyBorder="1"/>
    <xf numFmtId="165" fontId="13" fillId="0" borderId="0" xfId="1" applyNumberFormat="1" applyFont="1" applyBorder="1"/>
    <xf numFmtId="165" fontId="13" fillId="0" borderId="5" xfId="1" applyNumberFormat="1" applyFont="1" applyBorder="1"/>
    <xf numFmtId="165" fontId="1" fillId="0" borderId="5" xfId="1" applyNumberFormat="1" applyFont="1" applyBorder="1"/>
    <xf numFmtId="0" fontId="18" fillId="0" borderId="0" xfId="0" applyFont="1"/>
    <xf numFmtId="0" fontId="19" fillId="6" borderId="0" xfId="0" applyFont="1" applyFill="1"/>
    <xf numFmtId="0" fontId="19" fillId="23" borderId="0" xfId="0" applyFont="1" applyFill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2" fillId="17" borderId="21" xfId="0" applyFont="1" applyFill="1" applyBorder="1"/>
    <xf numFmtId="0" fontId="24" fillId="17" borderId="0" xfId="0" applyFont="1" applyFill="1"/>
    <xf numFmtId="0" fontId="22" fillId="17" borderId="0" xfId="0" applyFont="1" applyFill="1"/>
    <xf numFmtId="0" fontId="22" fillId="17" borderId="22" xfId="0" applyFont="1" applyFill="1" applyBorder="1"/>
    <xf numFmtId="0" fontId="22" fillId="17" borderId="24" xfId="0" applyFont="1" applyFill="1" applyBorder="1"/>
    <xf numFmtId="0" fontId="22" fillId="17" borderId="25" xfId="0" applyFont="1" applyFill="1" applyBorder="1"/>
    <xf numFmtId="0" fontId="17" fillId="17" borderId="18" xfId="0" applyFont="1" applyFill="1" applyBorder="1"/>
    <xf numFmtId="0" fontId="17" fillId="17" borderId="19" xfId="0" applyFont="1" applyFill="1" applyBorder="1"/>
    <xf numFmtId="0" fontId="17" fillId="17" borderId="20" xfId="0" applyFont="1" applyFill="1" applyBorder="1"/>
    <xf numFmtId="0" fontId="24" fillId="17" borderId="21" xfId="0" applyFont="1" applyFill="1" applyBorder="1" applyAlignment="1">
      <alignment horizontal="left" indent="1"/>
    </xf>
    <xf numFmtId="0" fontId="22" fillId="17" borderId="21" xfId="0" applyFont="1" applyFill="1" applyBorder="1" applyAlignment="1">
      <alignment horizontal="left"/>
    </xf>
    <xf numFmtId="0" fontId="17" fillId="17" borderId="23" xfId="0" applyFont="1" applyFill="1" applyBorder="1"/>
    <xf numFmtId="0" fontId="25" fillId="17" borderId="23" xfId="0" applyFont="1" applyFill="1" applyBorder="1"/>
    <xf numFmtId="0" fontId="17" fillId="17" borderId="21" xfId="0" applyFont="1" applyFill="1" applyBorder="1"/>
    <xf numFmtId="0" fontId="17" fillId="17" borderId="0" xfId="0" applyFont="1" applyFill="1"/>
    <xf numFmtId="0" fontId="17" fillId="17" borderId="22" xfId="0" applyFont="1" applyFill="1" applyBorder="1"/>
    <xf numFmtId="0" fontId="24" fillId="17" borderId="24" xfId="0" applyFont="1" applyFill="1" applyBorder="1"/>
    <xf numFmtId="3" fontId="22" fillId="17" borderId="0" xfId="0" applyNumberFormat="1" applyFont="1" applyFill="1"/>
    <xf numFmtId="0" fontId="22" fillId="17" borderId="0" xfId="0" applyFont="1" applyFill="1" applyAlignment="1">
      <alignment horizontal="center"/>
    </xf>
    <xf numFmtId="0" fontId="17" fillId="17" borderId="0" xfId="0" applyFont="1" applyFill="1" applyAlignment="1">
      <alignment horizontal="center"/>
    </xf>
    <xf numFmtId="0" fontId="17" fillId="7" borderId="21" xfId="0" applyFont="1" applyFill="1" applyBorder="1"/>
    <xf numFmtId="0" fontId="24" fillId="7" borderId="0" xfId="0" applyFont="1" applyFill="1"/>
    <xf numFmtId="0" fontId="22" fillId="7" borderId="0" xfId="0" applyFont="1" applyFill="1"/>
    <xf numFmtId="0" fontId="22" fillId="7" borderId="22" xfId="0" applyFont="1" applyFill="1" applyBorder="1"/>
    <xf numFmtId="0" fontId="26" fillId="27" borderId="18" xfId="0" applyFont="1" applyFill="1" applyBorder="1"/>
    <xf numFmtId="0" fontId="26" fillId="27" borderId="19" xfId="0" applyFont="1" applyFill="1" applyBorder="1"/>
    <xf numFmtId="0" fontId="26" fillId="27" borderId="20" xfId="0" applyFont="1" applyFill="1" applyBorder="1"/>
    <xf numFmtId="3" fontId="17" fillId="17" borderId="0" xfId="0" applyNumberFormat="1" applyFont="1" applyFill="1" applyAlignment="1">
      <alignment horizontal="center"/>
    </xf>
    <xf numFmtId="3" fontId="22" fillId="17" borderId="0" xfId="0" applyNumberFormat="1" applyFont="1" applyFill="1" applyAlignment="1">
      <alignment horizontal="center"/>
    </xf>
    <xf numFmtId="0" fontId="31" fillId="27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22" xfId="0" applyNumberFormat="1" applyFont="1" applyFill="1" applyBorder="1" applyAlignment="1">
      <alignment horizontal="center"/>
    </xf>
    <xf numFmtId="0" fontId="22" fillId="19" borderId="0" xfId="0" applyFont="1" applyFill="1"/>
    <xf numFmtId="0" fontId="22" fillId="19" borderId="22" xfId="0" applyFont="1" applyFill="1" applyBorder="1"/>
    <xf numFmtId="0" fontId="17" fillId="19" borderId="22" xfId="0" applyFont="1" applyFill="1" applyBorder="1"/>
    <xf numFmtId="9" fontId="22" fillId="17" borderId="0" xfId="0" applyNumberFormat="1" applyFont="1" applyFill="1"/>
    <xf numFmtId="3" fontId="25" fillId="8" borderId="0" xfId="0" applyNumberFormat="1" applyFont="1" applyFill="1"/>
    <xf numFmtId="0" fontId="17" fillId="7" borderId="18" xfId="0" applyFont="1" applyFill="1" applyBorder="1"/>
    <xf numFmtId="0" fontId="24" fillId="7" borderId="19" xfId="0" applyFont="1" applyFill="1" applyBorder="1"/>
    <xf numFmtId="0" fontId="22" fillId="7" borderId="19" xfId="0" applyFont="1" applyFill="1" applyBorder="1"/>
    <xf numFmtId="0" fontId="22" fillId="7" borderId="20" xfId="0" applyFont="1" applyFill="1" applyBorder="1"/>
    <xf numFmtId="3" fontId="17" fillId="21" borderId="22" xfId="0" applyNumberFormat="1" applyFont="1" applyFill="1" applyBorder="1"/>
    <xf numFmtId="0" fontId="20" fillId="5" borderId="18" xfId="0" applyFont="1" applyFill="1" applyBorder="1"/>
    <xf numFmtId="3" fontId="20" fillId="5" borderId="19" xfId="0" applyNumberFormat="1" applyFont="1" applyFill="1" applyBorder="1"/>
    <xf numFmtId="3" fontId="20" fillId="5" borderId="20" xfId="0" applyNumberFormat="1" applyFont="1" applyFill="1" applyBorder="1"/>
    <xf numFmtId="0" fontId="20" fillId="5" borderId="21" xfId="0" applyFont="1" applyFill="1" applyBorder="1"/>
    <xf numFmtId="3" fontId="20" fillId="5" borderId="0" xfId="0" applyNumberFormat="1" applyFont="1" applyFill="1"/>
    <xf numFmtId="3" fontId="20" fillId="5" borderId="22" xfId="0" applyNumberFormat="1" applyFont="1" applyFill="1" applyBorder="1"/>
    <xf numFmtId="0" fontId="20" fillId="5" borderId="23" xfId="0" applyFont="1" applyFill="1" applyBorder="1"/>
    <xf numFmtId="3" fontId="20" fillId="5" borderId="24" xfId="0" applyNumberFormat="1" applyFont="1" applyFill="1" applyBorder="1"/>
    <xf numFmtId="3" fontId="20" fillId="5" borderId="25" xfId="0" applyNumberFormat="1" applyFont="1" applyFill="1" applyBorder="1"/>
    <xf numFmtId="0" fontId="22" fillId="5" borderId="0" xfId="0" applyFont="1" applyFill="1"/>
    <xf numFmtId="164" fontId="22" fillId="17" borderId="0" xfId="2" applyNumberFormat="1" applyFont="1" applyFill="1" applyBorder="1"/>
    <xf numFmtId="3" fontId="22" fillId="28" borderId="0" xfId="0" applyNumberFormat="1" applyFont="1" applyFill="1"/>
    <xf numFmtId="165" fontId="9" fillId="21" borderId="10" xfId="1" applyNumberFormat="1" applyFont="1" applyFill="1" applyBorder="1" applyAlignment="1">
      <alignment horizontal="center"/>
    </xf>
    <xf numFmtId="165" fontId="9" fillId="21" borderId="11" xfId="1" applyNumberFormat="1" applyFont="1" applyFill="1" applyBorder="1" applyAlignment="1">
      <alignment horizontal="center"/>
    </xf>
    <xf numFmtId="165" fontId="9" fillId="21" borderId="12" xfId="1" applyNumberFormat="1" applyFont="1" applyFill="1" applyBorder="1" applyAlignment="1">
      <alignment horizontal="center"/>
    </xf>
    <xf numFmtId="0" fontId="22" fillId="17" borderId="0" xfId="0" applyFont="1" applyFill="1" applyBorder="1"/>
    <xf numFmtId="3" fontId="17" fillId="17" borderId="22" xfId="0" applyNumberFormat="1" applyFont="1" applyFill="1" applyBorder="1"/>
    <xf numFmtId="3" fontId="17" fillId="2" borderId="22" xfId="0" applyNumberFormat="1" applyFont="1" applyFill="1" applyBorder="1"/>
    <xf numFmtId="0" fontId="0" fillId="28" borderId="0" xfId="0" applyFill="1"/>
    <xf numFmtId="0" fontId="15" fillId="29" borderId="0" xfId="0" applyFont="1" applyFill="1"/>
    <xf numFmtId="0" fontId="0" fillId="0" borderId="0" xfId="0" applyFill="1"/>
    <xf numFmtId="0" fontId="33" fillId="29" borderId="0" xfId="0" applyFont="1" applyFill="1"/>
    <xf numFmtId="0" fontId="0" fillId="22" borderId="0" xfId="0" applyFill="1" applyAlignment="1">
      <alignment horizontal="center"/>
    </xf>
    <xf numFmtId="0" fontId="0" fillId="24" borderId="0" xfId="0" applyFill="1"/>
    <xf numFmtId="0" fontId="15" fillId="24" borderId="0" xfId="0" applyFont="1" applyFill="1"/>
    <xf numFmtId="10" fontId="15" fillId="24" borderId="0" xfId="2" applyNumberFormat="1" applyFont="1" applyFill="1"/>
    <xf numFmtId="3" fontId="2" fillId="0" borderId="15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8" xfId="0" applyNumberFormat="1" applyBorder="1"/>
    <xf numFmtId="0" fontId="32" fillId="0" borderId="1" xfId="0" applyFont="1" applyBorder="1"/>
    <xf numFmtId="0" fontId="15" fillId="0" borderId="6" xfId="0" applyFont="1" applyBorder="1"/>
    <xf numFmtId="0" fontId="0" fillId="17" borderId="0" xfId="0" applyFont="1" applyFill="1"/>
    <xf numFmtId="165" fontId="0" fillId="17" borderId="0" xfId="1" applyNumberFormat="1" applyFont="1" applyFill="1"/>
    <xf numFmtId="3" fontId="0" fillId="15" borderId="0" xfId="0" applyNumberFormat="1" applyFill="1"/>
    <xf numFmtId="0" fontId="2" fillId="15" borderId="0" xfId="0" applyFont="1" applyFill="1" applyAlignment="1">
      <alignment horizontal="center"/>
    </xf>
    <xf numFmtId="165" fontId="1" fillId="15" borderId="0" xfId="1" applyNumberFormat="1" applyFont="1" applyFill="1"/>
    <xf numFmtId="165" fontId="0" fillId="13" borderId="15" xfId="0" applyNumberFormat="1" applyFill="1" applyBorder="1"/>
    <xf numFmtId="0" fontId="3" fillId="30" borderId="10" xfId="0" applyFont="1" applyFill="1" applyBorder="1"/>
    <xf numFmtId="0" fontId="9" fillId="30" borderId="11" xfId="0" applyFont="1" applyFill="1" applyBorder="1"/>
    <xf numFmtId="0" fontId="3" fillId="30" borderId="11" xfId="0" applyFont="1" applyFill="1" applyBorder="1"/>
    <xf numFmtId="0" fontId="3" fillId="30" borderId="12" xfId="0" applyFont="1" applyFill="1" applyBorder="1"/>
    <xf numFmtId="165" fontId="0" fillId="20" borderId="15" xfId="0" applyNumberFormat="1" applyFill="1" applyBorder="1"/>
    <xf numFmtId="10" fontId="0" fillId="0" borderId="0" xfId="0" applyNumberFormat="1"/>
    <xf numFmtId="165" fontId="15" fillId="17" borderId="0" xfId="1" applyNumberFormat="1" applyFont="1" applyFill="1"/>
    <xf numFmtId="0" fontId="25" fillId="17" borderId="0" xfId="0" applyFont="1" applyFill="1"/>
    <xf numFmtId="0" fontId="19" fillId="6" borderId="10" xfId="0" applyFont="1" applyFill="1" applyBorder="1"/>
    <xf numFmtId="0" fontId="19" fillId="23" borderId="11" xfId="0" applyFont="1" applyFill="1" applyBorder="1"/>
    <xf numFmtId="0" fontId="3" fillId="23" borderId="11" xfId="0" applyFont="1" applyFill="1" applyBorder="1"/>
    <xf numFmtId="0" fontId="3" fillId="23" borderId="12" xfId="0" applyFont="1" applyFill="1" applyBorder="1"/>
    <xf numFmtId="0" fontId="22" fillId="5" borderId="21" xfId="0" applyFont="1" applyFill="1" applyBorder="1"/>
    <xf numFmtId="0" fontId="24" fillId="5" borderId="0" xfId="0" applyFont="1" applyFill="1"/>
    <xf numFmtId="0" fontId="22" fillId="5" borderId="22" xfId="0" applyFont="1" applyFill="1" applyBorder="1"/>
    <xf numFmtId="0" fontId="22" fillId="5" borderId="23" xfId="0" applyFont="1" applyFill="1" applyBorder="1"/>
    <xf numFmtId="0" fontId="24" fillId="5" borderId="24" xfId="0" applyFont="1" applyFill="1" applyBorder="1"/>
    <xf numFmtId="0" fontId="22" fillId="5" borderId="24" xfId="0" applyFont="1" applyFill="1" applyBorder="1"/>
    <xf numFmtId="0" fontId="22" fillId="5" borderId="25" xfId="0" applyFont="1" applyFill="1" applyBorder="1"/>
    <xf numFmtId="0" fontId="17" fillId="15" borderId="21" xfId="0" applyFont="1" applyFill="1" applyBorder="1"/>
    <xf numFmtId="0" fontId="24" fillId="15" borderId="0" xfId="0" applyFont="1" applyFill="1"/>
    <xf numFmtId="0" fontId="22" fillId="15" borderId="0" xfId="0" applyFont="1" applyFill="1"/>
    <xf numFmtId="3" fontId="22" fillId="15" borderId="0" xfId="0" applyNumberFormat="1" applyFont="1" applyFill="1"/>
    <xf numFmtId="0" fontId="17" fillId="17" borderId="24" xfId="0" applyFont="1" applyFill="1" applyBorder="1"/>
    <xf numFmtId="0" fontId="17" fillId="17" borderId="25" xfId="0" applyFont="1" applyFill="1" applyBorder="1"/>
    <xf numFmtId="0" fontId="22" fillId="15" borderId="21" xfId="0" applyFont="1" applyFill="1" applyBorder="1"/>
    <xf numFmtId="3" fontId="22" fillId="15" borderId="0" xfId="0" applyNumberFormat="1" applyFont="1" applyFill="1" applyAlignment="1">
      <alignment horizontal="right"/>
    </xf>
    <xf numFmtId="9" fontId="22" fillId="15" borderId="0" xfId="2" applyFont="1" applyFill="1" applyBorder="1"/>
    <xf numFmtId="3" fontId="22" fillId="15" borderId="0" xfId="0" applyNumberFormat="1" applyFont="1" applyFill="1" applyAlignment="1">
      <alignment horizontal="center"/>
    </xf>
    <xf numFmtId="0" fontId="22" fillId="14" borderId="21" xfId="0" applyFont="1" applyFill="1" applyBorder="1"/>
    <xf numFmtId="0" fontId="22" fillId="14" borderId="0" xfId="0" applyFont="1" applyFill="1"/>
    <xf numFmtId="3" fontId="22" fillId="14" borderId="0" xfId="0" applyNumberFormat="1" applyFont="1" applyFill="1" applyAlignment="1">
      <alignment horizontal="center"/>
    </xf>
    <xf numFmtId="3" fontId="22" fillId="14" borderId="0" xfId="0" applyNumberFormat="1" applyFont="1" applyFill="1"/>
    <xf numFmtId="3" fontId="22" fillId="5" borderId="0" xfId="0" applyNumberFormat="1" applyFont="1" applyFill="1"/>
    <xf numFmtId="3" fontId="17" fillId="5" borderId="0" xfId="0" applyNumberFormat="1" applyFont="1" applyFill="1"/>
    <xf numFmtId="165" fontId="17" fillId="17" borderId="0" xfId="1" applyNumberFormat="1" applyFont="1" applyFill="1" applyBorder="1"/>
    <xf numFmtId="0" fontId="25" fillId="17" borderId="21" xfId="0" applyFont="1" applyFill="1" applyBorder="1"/>
    <xf numFmtId="165" fontId="25" fillId="17" borderId="0" xfId="1" applyNumberFormat="1" applyFont="1" applyFill="1" applyBorder="1"/>
    <xf numFmtId="0" fontId="34" fillId="17" borderId="21" xfId="0" applyFont="1" applyFill="1" applyBorder="1"/>
    <xf numFmtId="0" fontId="34" fillId="17" borderId="0" xfId="0" applyFont="1" applyFill="1"/>
    <xf numFmtId="165" fontId="34" fillId="17" borderId="0" xfId="1" applyNumberFormat="1" applyFont="1" applyFill="1" applyBorder="1"/>
    <xf numFmtId="3" fontId="17" fillId="17" borderId="0" xfId="0" applyNumberFormat="1" applyFont="1" applyFill="1"/>
    <xf numFmtId="3" fontId="25" fillId="17" borderId="0" xfId="0" applyNumberFormat="1" applyFont="1" applyFill="1"/>
    <xf numFmtId="3" fontId="34" fillId="17" borderId="0" xfId="0" applyNumberFormat="1" applyFont="1" applyFill="1"/>
    <xf numFmtId="3" fontId="17" fillId="5" borderId="22" xfId="0" applyNumberFormat="1" applyFont="1" applyFill="1" applyBorder="1"/>
    <xf numFmtId="0" fontId="25" fillId="15" borderId="0" xfId="0" applyFont="1" applyFill="1"/>
    <xf numFmtId="0" fontId="17" fillId="15" borderId="0" xfId="0" applyFont="1" applyFill="1"/>
    <xf numFmtId="3" fontId="17" fillId="15" borderId="0" xfId="0" applyNumberFormat="1" applyFont="1" applyFill="1" applyAlignment="1">
      <alignment horizontal="right"/>
    </xf>
    <xf numFmtId="0" fontId="17" fillId="15" borderId="10" xfId="0" applyFont="1" applyFill="1" applyBorder="1"/>
    <xf numFmtId="0" fontId="17" fillId="15" borderId="11" xfId="0" applyFont="1" applyFill="1" applyBorder="1"/>
    <xf numFmtId="3" fontId="17" fillId="15" borderId="12" xfId="0" applyNumberFormat="1" applyFont="1" applyFill="1" applyBorder="1"/>
    <xf numFmtId="9" fontId="17" fillId="15" borderId="0" xfId="2" applyFont="1" applyFill="1" applyBorder="1"/>
    <xf numFmtId="0" fontId="17" fillId="2" borderId="21" xfId="0" applyFont="1" applyFill="1" applyBorder="1"/>
    <xf numFmtId="0" fontId="25" fillId="2" borderId="0" xfId="0" applyFont="1" applyFill="1"/>
    <xf numFmtId="0" fontId="17" fillId="2" borderId="0" xfId="0" applyFont="1" applyFill="1"/>
    <xf numFmtId="0" fontId="22" fillId="13" borderId="21" xfId="0" applyFont="1" applyFill="1" applyBorder="1"/>
    <xf numFmtId="0" fontId="24" fillId="13" borderId="0" xfId="0" applyFont="1" applyFill="1"/>
    <xf numFmtId="0" fontId="22" fillId="13" borderId="0" xfId="0" applyFont="1" applyFill="1"/>
    <xf numFmtId="3" fontId="22" fillId="13" borderId="0" xfId="0" applyNumberFormat="1" applyFont="1" applyFill="1"/>
    <xf numFmtId="3" fontId="22" fillId="7" borderId="0" xfId="0" applyNumberFormat="1" applyFont="1" applyFill="1"/>
    <xf numFmtId="0" fontId="25" fillId="5" borderId="0" xfId="0" applyFont="1" applyFill="1"/>
    <xf numFmtId="0" fontId="25" fillId="17" borderId="22" xfId="0" applyFont="1" applyFill="1" applyBorder="1"/>
    <xf numFmtId="0" fontId="25" fillId="7" borderId="0" xfId="0" applyFont="1" applyFill="1"/>
    <xf numFmtId="3" fontId="25" fillId="7" borderId="0" xfId="0" applyNumberFormat="1" applyFont="1" applyFill="1"/>
    <xf numFmtId="3" fontId="17" fillId="7" borderId="15" xfId="0" applyNumberFormat="1" applyFont="1" applyFill="1" applyBorder="1"/>
    <xf numFmtId="0" fontId="17" fillId="7" borderId="10" xfId="0" applyFont="1" applyFill="1" applyBorder="1"/>
    <xf numFmtId="0" fontId="22" fillId="7" borderId="11" xfId="0" applyFont="1" applyFill="1" applyBorder="1"/>
    <xf numFmtId="3" fontId="22" fillId="7" borderId="12" xfId="0" applyNumberFormat="1" applyFont="1" applyFill="1" applyBorder="1"/>
    <xf numFmtId="0" fontId="22" fillId="7" borderId="21" xfId="0" applyFont="1" applyFill="1" applyBorder="1"/>
    <xf numFmtId="10" fontId="22" fillId="17" borderId="0" xfId="0" applyNumberFormat="1" applyFont="1" applyFill="1"/>
    <xf numFmtId="165" fontId="22" fillId="7" borderId="0" xfId="1" applyNumberFormat="1" applyFont="1" applyFill="1" applyBorder="1"/>
    <xf numFmtId="3" fontId="21" fillId="5" borderId="19" xfId="0" applyNumberFormat="1" applyFont="1" applyFill="1" applyBorder="1"/>
    <xf numFmtId="3" fontId="21" fillId="5" borderId="0" xfId="0" applyNumberFormat="1" applyFont="1" applyFill="1"/>
    <xf numFmtId="3" fontId="21" fillId="5" borderId="24" xfId="0" applyNumberFormat="1" applyFont="1" applyFill="1" applyBorder="1"/>
    <xf numFmtId="9" fontId="22" fillId="7" borderId="0" xfId="0" applyNumberFormat="1" applyFont="1" applyFill="1"/>
    <xf numFmtId="0" fontId="22" fillId="7" borderId="10" xfId="0" applyFont="1" applyFill="1" applyBorder="1"/>
    <xf numFmtId="0" fontId="21" fillId="0" borderId="0" xfId="0" applyFont="1" applyAlignment="1">
      <alignment horizontal="center"/>
    </xf>
    <xf numFmtId="0" fontId="0" fillId="0" borderId="0" xfId="0" applyBorder="1"/>
    <xf numFmtId="0" fontId="0" fillId="31" borderId="0" xfId="0" applyFill="1" applyBorder="1"/>
    <xf numFmtId="0" fontId="0" fillId="31" borderId="4" xfId="0" applyFill="1" applyBorder="1"/>
    <xf numFmtId="0" fontId="0" fillId="31" borderId="5" xfId="0" applyFill="1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18" borderId="43" xfId="0" applyFill="1" applyBorder="1"/>
    <xf numFmtId="0" fontId="0" fillId="18" borderId="0" xfId="0" applyFill="1" applyBorder="1"/>
    <xf numFmtId="0" fontId="0" fillId="18" borderId="44" xfId="0" applyFill="1" applyBorder="1"/>
    <xf numFmtId="0" fontId="2" fillId="18" borderId="10" xfId="0" applyFont="1" applyFill="1" applyBorder="1"/>
    <xf numFmtId="0" fontId="0" fillId="18" borderId="11" xfId="0" applyFill="1" applyBorder="1"/>
    <xf numFmtId="0" fontId="0" fillId="18" borderId="12" xfId="0" applyFill="1" applyBorder="1"/>
    <xf numFmtId="0" fontId="9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3" fillId="26" borderId="1" xfId="0" applyFont="1" applyFill="1" applyBorder="1"/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3" fillId="26" borderId="3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14" fillId="8" borderId="0" xfId="0" applyNumberFormat="1" applyFont="1" applyFill="1" applyBorder="1"/>
    <xf numFmtId="3" fontId="3" fillId="26" borderId="0" xfId="0" applyNumberFormat="1" applyFont="1" applyFill="1" applyBorder="1"/>
    <xf numFmtId="0" fontId="2" fillId="18" borderId="0" xfId="0" applyFont="1" applyFill="1" applyBorder="1"/>
    <xf numFmtId="0" fontId="3" fillId="26" borderId="6" xfId="0" applyFont="1" applyFill="1" applyBorder="1"/>
    <xf numFmtId="0" fontId="3" fillId="26" borderId="7" xfId="0" applyFont="1" applyFill="1" applyBorder="1"/>
    <xf numFmtId="3" fontId="3" fillId="26" borderId="7" xfId="0" applyNumberFormat="1" applyFont="1" applyFill="1" applyBorder="1"/>
    <xf numFmtId="3" fontId="0" fillId="18" borderId="7" xfId="0" applyNumberFormat="1" applyFill="1" applyBorder="1"/>
    <xf numFmtId="0" fontId="0" fillId="18" borderId="8" xfId="0" applyFill="1" applyBorder="1"/>
    <xf numFmtId="0" fontId="0" fillId="0" borderId="2" xfId="0" applyFill="1" applyBorder="1"/>
    <xf numFmtId="0" fontId="0" fillId="0" borderId="0" xfId="0" applyFill="1" applyBorder="1"/>
    <xf numFmtId="0" fontId="17" fillId="14" borderId="21" xfId="0" applyFont="1" applyFill="1" applyBorder="1"/>
    <xf numFmtId="0" fontId="24" fillId="14" borderId="0" xfId="0" applyFont="1" applyFill="1"/>
    <xf numFmtId="164" fontId="22" fillId="14" borderId="0" xfId="2" applyNumberFormat="1" applyFont="1" applyFill="1" applyBorder="1"/>
    <xf numFmtId="0" fontId="35" fillId="17" borderId="21" xfId="0" applyFont="1" applyFill="1" applyBorder="1"/>
    <xf numFmtId="0" fontId="17" fillId="17" borderId="2" xfId="0" applyFont="1" applyFill="1" applyBorder="1" applyAlignment="1">
      <alignment horizontal="center"/>
    </xf>
    <xf numFmtId="0" fontId="22" fillId="17" borderId="3" xfId="0" applyFont="1" applyFill="1" applyBorder="1"/>
    <xf numFmtId="0" fontId="22" fillId="17" borderId="4" xfId="0" applyFont="1" applyFill="1" applyBorder="1"/>
    <xf numFmtId="0" fontId="22" fillId="14" borderId="0" xfId="0" applyFont="1" applyFill="1" applyBorder="1"/>
    <xf numFmtId="3" fontId="17" fillId="14" borderId="0" xfId="0" applyNumberFormat="1" applyFont="1" applyFill="1" applyBorder="1"/>
    <xf numFmtId="3" fontId="17" fillId="17" borderId="5" xfId="0" applyNumberFormat="1" applyFont="1" applyFill="1" applyBorder="1"/>
    <xf numFmtId="0" fontId="22" fillId="17" borderId="5" xfId="0" applyFont="1" applyFill="1" applyBorder="1"/>
    <xf numFmtId="0" fontId="17" fillId="17" borderId="0" xfId="0" applyFont="1" applyFill="1" applyBorder="1" applyAlignment="1">
      <alignment horizontal="center"/>
    </xf>
    <xf numFmtId="3" fontId="22" fillId="17" borderId="0" xfId="0" applyNumberFormat="1" applyFont="1" applyFill="1" applyBorder="1"/>
    <xf numFmtId="0" fontId="22" fillId="17" borderId="6" xfId="0" applyFont="1" applyFill="1" applyBorder="1"/>
    <xf numFmtId="3" fontId="17" fillId="14" borderId="7" xfId="0" applyNumberFormat="1" applyFont="1" applyFill="1" applyBorder="1"/>
    <xf numFmtId="3" fontId="17" fillId="17" borderId="8" xfId="0" applyNumberFormat="1" applyFont="1" applyFill="1" applyBorder="1"/>
    <xf numFmtId="0" fontId="17" fillId="17" borderId="1" xfId="0" applyFont="1" applyFill="1" applyBorder="1"/>
    <xf numFmtId="0" fontId="17" fillId="17" borderId="4" xfId="0" applyFont="1" applyFill="1" applyBorder="1"/>
    <xf numFmtId="0" fontId="24" fillId="17" borderId="21" xfId="0" applyFont="1" applyFill="1" applyBorder="1"/>
    <xf numFmtId="0" fontId="24" fillId="17" borderId="23" xfId="0" applyFont="1" applyFill="1" applyBorder="1"/>
    <xf numFmtId="3" fontId="20" fillId="0" borderId="0" xfId="0" applyNumberFormat="1" applyFont="1"/>
    <xf numFmtId="164" fontId="20" fillId="0" borderId="0" xfId="0" applyNumberFormat="1" applyFont="1"/>
    <xf numFmtId="0" fontId="21" fillId="14" borderId="0" xfId="0" applyFont="1" applyFill="1"/>
    <xf numFmtId="3" fontId="20" fillId="14" borderId="0" xfId="0" applyNumberFormat="1" applyFont="1" applyFill="1"/>
    <xf numFmtId="0" fontId="20" fillId="18" borderId="0" xfId="0" applyFont="1" applyFill="1"/>
    <xf numFmtId="0" fontId="21" fillId="18" borderId="0" xfId="0" applyFont="1" applyFill="1" applyAlignment="1">
      <alignment horizontal="center"/>
    </xf>
    <xf numFmtId="3" fontId="20" fillId="24" borderId="0" xfId="0" applyNumberFormat="1" applyFont="1" applyFill="1"/>
    <xf numFmtId="0" fontId="37" fillId="0" borderId="0" xfId="0" applyFont="1"/>
    <xf numFmtId="165" fontId="2" fillId="8" borderId="0" xfId="1" applyNumberFormat="1" applyFont="1" applyFill="1"/>
    <xf numFmtId="0" fontId="0" fillId="13" borderId="8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pxhere.com/es/photo/472993" TargetMode="External"/><Relationship Id="rId3" Type="http://schemas.openxmlformats.org/officeDocument/2006/relationships/hyperlink" Target="https://desarrolloydefensa.blogspot.com/2009/02/tren-urbano-de-salta.html" TargetMode="External"/><Relationship Id="rId7" Type="http://schemas.openxmlformats.org/officeDocument/2006/relationships/image" Target="../media/image4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https://aprendizagensnanet.blogspot.com/2016/03/80-aniversario-teleferico-kasprowy.html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3.jpg"/><Relationship Id="rId10" Type="http://schemas.openxmlformats.org/officeDocument/2006/relationships/image" Target="../media/image6.png"/><Relationship Id="rId4" Type="http://schemas.openxmlformats.org/officeDocument/2006/relationships/hyperlink" Target="https://creativecommons.org/licenses/by-nc/3.0/" TargetMode="External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hyperlink" Target="https://aprendizagensnanet.blogspot.com/2016/03/80-aniversario-teleferico-kasprowy.html" TargetMode="External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hyperlink" Target="https://aprendizagensnanet.blogspot.com/2016/03/80-aniversario-teleferico-kasprowy.html" TargetMode="External"/><Relationship Id="rId1" Type="http://schemas.openxmlformats.org/officeDocument/2006/relationships/image" Target="../media/image13.jpe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4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134937</xdr:colOff>
      <xdr:row>50</xdr:row>
      <xdr:rowOff>55562</xdr:rowOff>
    </xdr:from>
    <xdr:to>
      <xdr:col>5</xdr:col>
      <xdr:colOff>396875</xdr:colOff>
      <xdr:row>50</xdr:row>
      <xdr:rowOff>166687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0222071-B572-C83C-9F91-8FAA515B362D}"/>
            </a:ext>
          </a:extLst>
        </xdr:cNvPr>
        <xdr:cNvSpPr/>
      </xdr:nvSpPr>
      <xdr:spPr>
        <a:xfrm>
          <a:off x="4095750" y="9580562"/>
          <a:ext cx="261938" cy="1111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9</xdr:col>
      <xdr:colOff>78828</xdr:colOff>
      <xdr:row>11</xdr:row>
      <xdr:rowOff>61893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C0C7D4-74C6-437B-9234-2551D2F3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0329"/>
          <a:ext cx="5577052" cy="1585892"/>
        </a:xfrm>
        <a:prstGeom prst="rect">
          <a:avLst/>
        </a:prstGeom>
      </xdr:spPr>
    </xdr:pic>
    <xdr:clientData/>
  </xdr:twoCellAnchor>
  <xdr:twoCellAnchor editAs="oneCell">
    <xdr:from>
      <xdr:col>9</xdr:col>
      <xdr:colOff>19706</xdr:colOff>
      <xdr:row>0</xdr:row>
      <xdr:rowOff>0</xdr:rowOff>
    </xdr:from>
    <xdr:to>
      <xdr:col>15</xdr:col>
      <xdr:colOff>431800</xdr:colOff>
      <xdr:row>14</xdr:row>
      <xdr:rowOff>91778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E55C1A-8491-4225-B133-411AF8D5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06106" y="0"/>
          <a:ext cx="4260194" cy="2834978"/>
        </a:xfrm>
        <a:prstGeom prst="rect">
          <a:avLst/>
        </a:prstGeom>
      </xdr:spPr>
    </xdr:pic>
    <xdr:clientData/>
  </xdr:twoCellAnchor>
  <xdr:oneCellAnchor>
    <xdr:from>
      <xdr:col>9</xdr:col>
      <xdr:colOff>78827</xdr:colOff>
      <xdr:row>15</xdr:row>
      <xdr:rowOff>155684</xdr:rowOff>
    </xdr:from>
    <xdr:ext cx="381000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0D1C8B9-7776-4187-98C9-31C8AD6BABA1}"/>
            </a:ext>
          </a:extLst>
        </xdr:cNvPr>
        <xdr:cNvSpPr txBox="1"/>
      </xdr:nvSpPr>
      <xdr:spPr>
        <a:xfrm>
          <a:off x="5577051" y="3092012"/>
          <a:ext cx="3810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900">
              <a:hlinkClick xmlns:r="http://schemas.openxmlformats.org/officeDocument/2006/relationships" r:id="rId3" tooltip="https://desarrolloydefensa.blogspot.com/2009/02/tren-urbano-de-salta.html"/>
            </a:rPr>
            <a:t>Esta foto</a:t>
          </a:r>
          <a:r>
            <a:rPr lang="es-PE" sz="900"/>
            <a:t> de Autor desconocido está bajo licencia </a:t>
          </a:r>
          <a:r>
            <a:rPr lang="es-PE" sz="900">
              <a:hlinkClick xmlns:r="http://schemas.openxmlformats.org/officeDocument/2006/relationships" r:id="rId4" tooltip="https://creativecommons.org/licenses/by-nc/3.0/"/>
            </a:rPr>
            <a:t>CC BY-NC</a:t>
          </a:r>
          <a:endParaRPr lang="es-PE" sz="900"/>
        </a:p>
      </xdr:txBody>
    </xdr:sp>
    <xdr:clientData/>
  </xdr:oneCellAnchor>
  <xdr:twoCellAnchor editAs="oneCell">
    <xdr:from>
      <xdr:col>0</xdr:col>
      <xdr:colOff>0</xdr:colOff>
      <xdr:row>12</xdr:row>
      <xdr:rowOff>172764</xdr:rowOff>
    </xdr:from>
    <xdr:to>
      <xdr:col>9</xdr:col>
      <xdr:colOff>76200</xdr:colOff>
      <xdr:row>29</xdr:row>
      <xdr:rowOff>32248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8C91AEC-FE0D-4547-B081-3E79F2FE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0" y="2534964"/>
          <a:ext cx="5562600" cy="3097984"/>
        </a:xfrm>
        <a:prstGeom prst="rect">
          <a:avLst/>
        </a:prstGeom>
      </xdr:spPr>
    </xdr:pic>
    <xdr:clientData/>
  </xdr:twoCellAnchor>
  <xdr:twoCellAnchor editAs="oneCell">
    <xdr:from>
      <xdr:col>9</xdr:col>
      <xdr:colOff>19102</xdr:colOff>
      <xdr:row>12</xdr:row>
      <xdr:rowOff>177362</xdr:rowOff>
    </xdr:from>
    <xdr:to>
      <xdr:col>15</xdr:col>
      <xdr:colOff>422752</xdr:colOff>
      <xdr:row>29</xdr:row>
      <xdr:rowOff>38100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5093941-5D0C-4882-96BC-80575161C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5505502" y="2539562"/>
          <a:ext cx="4251750" cy="3099238"/>
        </a:xfrm>
        <a:prstGeom prst="rect">
          <a:avLst/>
        </a:prstGeom>
      </xdr:spPr>
    </xdr:pic>
    <xdr:clientData/>
  </xdr:twoCellAnchor>
  <xdr:twoCellAnchor>
    <xdr:from>
      <xdr:col>3</xdr:col>
      <xdr:colOff>354725</xdr:colOff>
      <xdr:row>7</xdr:row>
      <xdr:rowOff>52551</xdr:rowOff>
    </xdr:from>
    <xdr:to>
      <xdr:col>7</xdr:col>
      <xdr:colOff>13137</xdr:colOff>
      <xdr:row>7</xdr:row>
      <xdr:rowOff>52551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5F910C7-49A3-4E94-A0BB-91E1AC396A6E}"/>
            </a:ext>
          </a:extLst>
        </xdr:cNvPr>
        <xdr:cNvCxnSpPr/>
      </xdr:nvCxnSpPr>
      <xdr:spPr>
        <a:xfrm>
          <a:off x="2187466" y="1464879"/>
          <a:ext cx="210206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29</xdr:row>
      <xdr:rowOff>32845</xdr:rowOff>
    </xdr:from>
    <xdr:to>
      <xdr:col>8</xdr:col>
      <xdr:colOff>597776</xdr:colOff>
      <xdr:row>35</xdr:row>
      <xdr:rowOff>103594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1BF9CD0-23D6-4ED8-A4AE-FDE979A0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636173"/>
          <a:ext cx="5485086" cy="1213749"/>
        </a:xfrm>
        <a:prstGeom prst="rect">
          <a:avLst/>
        </a:prstGeom>
      </xdr:spPr>
    </xdr:pic>
    <xdr:clientData/>
  </xdr:twoCellAnchor>
  <xdr:twoCellAnchor editAs="oneCell">
    <xdr:from>
      <xdr:col>0</xdr:col>
      <xdr:colOff>39414</xdr:colOff>
      <xdr:row>35</xdr:row>
      <xdr:rowOff>32846</xdr:rowOff>
    </xdr:from>
    <xdr:to>
      <xdr:col>8</xdr:col>
      <xdr:colOff>591207</xdr:colOff>
      <xdr:row>45</xdr:row>
      <xdr:rowOff>11376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85F0E0F-2E77-4165-AB47-5E589B77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414" y="6779174"/>
          <a:ext cx="5439103" cy="1883530"/>
        </a:xfrm>
        <a:prstGeom prst="rect">
          <a:avLst/>
        </a:prstGeom>
      </xdr:spPr>
    </xdr:pic>
    <xdr:clientData/>
  </xdr:twoCellAnchor>
  <xdr:twoCellAnchor>
    <xdr:from>
      <xdr:col>4</xdr:col>
      <xdr:colOff>500557</xdr:colOff>
      <xdr:row>42</xdr:row>
      <xdr:rowOff>185244</xdr:rowOff>
    </xdr:from>
    <xdr:to>
      <xdr:col>7</xdr:col>
      <xdr:colOff>315310</xdr:colOff>
      <xdr:row>43</xdr:row>
      <xdr:rowOff>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62CDCA62-1C8F-42D2-A396-1179CFABDBB0}"/>
            </a:ext>
          </a:extLst>
        </xdr:cNvPr>
        <xdr:cNvCxnSpPr/>
      </xdr:nvCxnSpPr>
      <xdr:spPr>
        <a:xfrm>
          <a:off x="2944212" y="8265072"/>
          <a:ext cx="1647495" cy="525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45</xdr:row>
      <xdr:rowOff>177361</xdr:rowOff>
    </xdr:from>
    <xdr:to>
      <xdr:col>9</xdr:col>
      <xdr:colOff>102211</xdr:colOff>
      <xdr:row>69</xdr:row>
      <xdr:rowOff>166687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E5315E2-E97A-4BC2-BBA5-503A27B3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821299"/>
          <a:ext cx="5567180" cy="4561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215348</xdr:colOff>
      <xdr:row>1</xdr:row>
      <xdr:rowOff>33131</xdr:rowOff>
    </xdr:from>
    <xdr:to>
      <xdr:col>8</xdr:col>
      <xdr:colOff>165652</xdr:colOff>
      <xdr:row>7</xdr:row>
      <xdr:rowOff>104867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8D5690-1EF3-4C0D-9AA7-FA2DD167F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48" y="303006"/>
          <a:ext cx="6046304" cy="121473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3104</xdr:rowOff>
    </xdr:from>
    <xdr:to>
      <xdr:col>8</xdr:col>
      <xdr:colOff>140804</xdr:colOff>
      <xdr:row>17</xdr:row>
      <xdr:rowOff>24431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4C69CF-FDD5-4C96-8242-6ECFB042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598667"/>
          <a:ext cx="6046304" cy="78332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33130</xdr:rowOff>
    </xdr:from>
    <xdr:to>
      <xdr:col>8</xdr:col>
      <xdr:colOff>207065</xdr:colOff>
      <xdr:row>25</xdr:row>
      <xdr:rowOff>6087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69BE65-0655-4A6D-B159-AC7A63C0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3743739"/>
          <a:ext cx="6112565" cy="1115957"/>
        </a:xfrm>
        <a:prstGeom prst="rect">
          <a:avLst/>
        </a:prstGeom>
      </xdr:spPr>
    </xdr:pic>
    <xdr:clientData/>
  </xdr:twoCellAnchor>
  <xdr:twoCellAnchor editAs="oneCell">
    <xdr:from>
      <xdr:col>9</xdr:col>
      <xdr:colOff>57632</xdr:colOff>
      <xdr:row>2</xdr:row>
      <xdr:rowOff>55564</xdr:rowOff>
    </xdr:from>
    <xdr:to>
      <xdr:col>18</xdr:col>
      <xdr:colOff>520483</xdr:colOff>
      <xdr:row>22</xdr:row>
      <xdr:rowOff>126596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6CD36B-8F14-4DA3-94F1-625DBA1B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6423507" y="515939"/>
          <a:ext cx="6971601" cy="3920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23811</xdr:rowOff>
    </xdr:from>
    <xdr:to>
      <xdr:col>8</xdr:col>
      <xdr:colOff>269726</xdr:colOff>
      <xdr:row>49</xdr:row>
      <xdr:rowOff>182561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1E84CB-4247-4B1B-9252-2F016AA22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453061"/>
          <a:ext cx="6365726" cy="4159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17859</xdr:colOff>
      <xdr:row>0</xdr:row>
      <xdr:rowOff>184547</xdr:rowOff>
    </xdr:from>
    <xdr:to>
      <xdr:col>5</xdr:col>
      <xdr:colOff>536862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217CEA-0C2B-4381-A35B-3766089C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740422" y="184547"/>
          <a:ext cx="2043003" cy="114895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</xdr:row>
      <xdr:rowOff>25401</xdr:rowOff>
    </xdr:from>
    <xdr:to>
      <xdr:col>6</xdr:col>
      <xdr:colOff>6180</xdr:colOff>
      <xdr:row>15</xdr:row>
      <xdr:rowOff>90885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1F0E36-8942-4193-A324-1EA29C8C7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1" y="1562101"/>
          <a:ext cx="4813129" cy="139898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1</xdr:rowOff>
    </xdr:from>
    <xdr:to>
      <xdr:col>5</xdr:col>
      <xdr:colOff>535781</xdr:colOff>
      <xdr:row>29</xdr:row>
      <xdr:rowOff>44397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A584CA-2BE0-46E7-BBF0-BD34ADD2F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161110"/>
          <a:ext cx="4786311" cy="213989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37</xdr:row>
      <xdr:rowOff>70217</xdr:rowOff>
    </xdr:from>
    <xdr:to>
      <xdr:col>5</xdr:col>
      <xdr:colOff>520700</xdr:colOff>
      <xdr:row>45</xdr:row>
      <xdr:rowOff>51991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CA4E10F-EB48-4D0C-B6DC-AD98E03F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" y="7067917"/>
          <a:ext cx="4711700" cy="154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106760</xdr:rowOff>
    </xdr:from>
    <xdr:to>
      <xdr:col>5</xdr:col>
      <xdr:colOff>504825</xdr:colOff>
      <xdr:row>36</xdr:row>
      <xdr:rowOff>178066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5B68F2-CFE4-4C33-8143-55A4DE90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961460"/>
          <a:ext cx="4752975" cy="1023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38539</xdr:rowOff>
    </xdr:from>
    <xdr:to>
      <xdr:col>5</xdr:col>
      <xdr:colOff>546100</xdr:colOff>
      <xdr:row>69</xdr:row>
      <xdr:rowOff>25668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D902C33-9201-4C83-A8F4-BA0748CD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350939"/>
          <a:ext cx="4794250" cy="2865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57394</xdr:rowOff>
    </xdr:from>
    <xdr:to>
      <xdr:col>7</xdr:col>
      <xdr:colOff>214310</xdr:colOff>
      <xdr:row>100</xdr:row>
      <xdr:rowOff>166687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98A80E-4F7B-47F7-8447-31850F30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869019"/>
          <a:ext cx="5794373" cy="2403231"/>
        </a:xfrm>
        <a:prstGeom prst="rect">
          <a:avLst/>
        </a:prstGeom>
      </xdr:spPr>
    </xdr:pic>
    <xdr:clientData/>
  </xdr:twoCellAnchor>
  <xdr:twoCellAnchor editAs="oneCell">
    <xdr:from>
      <xdr:col>0</xdr:col>
      <xdr:colOff>38851</xdr:colOff>
      <xdr:row>118</xdr:row>
      <xdr:rowOff>10444</xdr:rowOff>
    </xdr:from>
    <xdr:to>
      <xdr:col>7</xdr:col>
      <xdr:colOff>195479</xdr:colOff>
      <xdr:row>125</xdr:row>
      <xdr:rowOff>169194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A067C4E-F703-413E-A1D4-73344C84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851" y="22594720"/>
          <a:ext cx="5736273" cy="1492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367862</xdr:colOff>
      <xdr:row>43</xdr:row>
      <xdr:rowOff>26276</xdr:rowOff>
    </xdr:from>
    <xdr:to>
      <xdr:col>2</xdr:col>
      <xdr:colOff>532086</xdr:colOff>
      <xdr:row>43</xdr:row>
      <xdr:rowOff>151087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2D648919-237D-3B71-6502-3B7304FD6ED4}"/>
            </a:ext>
          </a:extLst>
        </xdr:cNvPr>
        <xdr:cNvSpPr/>
      </xdr:nvSpPr>
      <xdr:spPr>
        <a:xfrm>
          <a:off x="1977259" y="8316310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367862</xdr:colOff>
      <xdr:row>43</xdr:row>
      <xdr:rowOff>26276</xdr:rowOff>
    </xdr:from>
    <xdr:to>
      <xdr:col>8</xdr:col>
      <xdr:colOff>532086</xdr:colOff>
      <xdr:row>43</xdr:row>
      <xdr:rowOff>151087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FD09475A-20B5-4E88-808D-785E8D8084FC}"/>
            </a:ext>
          </a:extLst>
        </xdr:cNvPr>
        <xdr:cNvSpPr/>
      </xdr:nvSpPr>
      <xdr:spPr>
        <a:xfrm>
          <a:off x="1977259" y="8316310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367862</xdr:colOff>
      <xdr:row>134</xdr:row>
      <xdr:rowOff>26276</xdr:rowOff>
    </xdr:from>
    <xdr:to>
      <xdr:col>4</xdr:col>
      <xdr:colOff>532086</xdr:colOff>
      <xdr:row>134</xdr:row>
      <xdr:rowOff>151087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CA1DE22A-8183-4F40-89D3-1FB22BFAFD9B}"/>
            </a:ext>
          </a:extLst>
        </xdr:cNvPr>
        <xdr:cNvSpPr/>
      </xdr:nvSpPr>
      <xdr:spPr>
        <a:xfrm>
          <a:off x="1977587" y="8370176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367862</xdr:colOff>
      <xdr:row>134</xdr:row>
      <xdr:rowOff>26276</xdr:rowOff>
    </xdr:from>
    <xdr:to>
      <xdr:col>10</xdr:col>
      <xdr:colOff>532086</xdr:colOff>
      <xdr:row>134</xdr:row>
      <xdr:rowOff>151087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FFB70362-368A-4D2A-A72F-051B28ED3DF1}"/>
            </a:ext>
          </a:extLst>
        </xdr:cNvPr>
        <xdr:cNvSpPr/>
      </xdr:nvSpPr>
      <xdr:spPr>
        <a:xfrm>
          <a:off x="6625787" y="8370176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367862</xdr:colOff>
      <xdr:row>165</xdr:row>
      <xdr:rowOff>26276</xdr:rowOff>
    </xdr:from>
    <xdr:to>
      <xdr:col>4</xdr:col>
      <xdr:colOff>532086</xdr:colOff>
      <xdr:row>165</xdr:row>
      <xdr:rowOff>151087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765041C-3D41-4C20-8D89-3FECAAEEBF6E}"/>
            </a:ext>
          </a:extLst>
        </xdr:cNvPr>
        <xdr:cNvSpPr/>
      </xdr:nvSpPr>
      <xdr:spPr>
        <a:xfrm>
          <a:off x="3694808" y="25777794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367862</xdr:colOff>
      <xdr:row>165</xdr:row>
      <xdr:rowOff>26276</xdr:rowOff>
    </xdr:from>
    <xdr:to>
      <xdr:col>10</xdr:col>
      <xdr:colOff>532086</xdr:colOff>
      <xdr:row>165</xdr:row>
      <xdr:rowOff>151087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480D38CA-A534-4E83-8B61-4DC135DD17F6}"/>
            </a:ext>
          </a:extLst>
        </xdr:cNvPr>
        <xdr:cNvSpPr/>
      </xdr:nvSpPr>
      <xdr:spPr>
        <a:xfrm>
          <a:off x="8266808" y="25777794"/>
          <a:ext cx="164224" cy="1248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323850</xdr:colOff>
      <xdr:row>17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6D50B8-24A8-4257-93CF-AA155B6E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3171825"/>
          <a:ext cx="2009775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328612</xdr:colOff>
      <xdr:row>12</xdr:row>
      <xdr:rowOff>208358</xdr:rowOff>
    </xdr:from>
    <xdr:to>
      <xdr:col>5</xdr:col>
      <xdr:colOff>750094</xdr:colOff>
      <xdr:row>17</xdr:row>
      <xdr:rowOff>209263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ECCAC8-6FB4-9D30-832B-0F6ABEE0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2737" y="3053952"/>
          <a:ext cx="1945482" cy="1090327"/>
        </a:xfrm>
        <a:prstGeom prst="rect">
          <a:avLst/>
        </a:prstGeom>
      </xdr:spPr>
    </xdr:pic>
    <xdr:clientData/>
  </xdr:twoCellAnchor>
  <xdr:twoCellAnchor editAs="oneCell">
    <xdr:from>
      <xdr:col>5</xdr:col>
      <xdr:colOff>744140</xdr:colOff>
      <xdr:row>12</xdr:row>
      <xdr:rowOff>107769</xdr:rowOff>
    </xdr:from>
    <xdr:to>
      <xdr:col>8</xdr:col>
      <xdr:colOff>208359</xdr:colOff>
      <xdr:row>17</xdr:row>
      <xdr:rowOff>204095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ED7E0E-D11D-2D35-2836-96B11B99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2265" y="2959316"/>
          <a:ext cx="1905000" cy="1090498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12</xdr:row>
      <xdr:rowOff>215503</xdr:rowOff>
    </xdr:from>
    <xdr:to>
      <xdr:col>10</xdr:col>
      <xdr:colOff>696515</xdr:colOff>
      <xdr:row>17</xdr:row>
      <xdr:rowOff>196828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E9AF96-658B-0B3C-6985-DDB6EFA1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9882" y="3061097"/>
          <a:ext cx="2039539" cy="10802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732183</xdr:colOff>
      <xdr:row>9</xdr:row>
      <xdr:rowOff>31851</xdr:rowOff>
    </xdr:from>
    <xdr:to>
      <xdr:col>14</xdr:col>
      <xdr:colOff>869674</xdr:colOff>
      <xdr:row>17</xdr:row>
      <xdr:rowOff>199140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AB810E-4F7B-4CB2-9AF0-B12AD8F2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553" y="2284721"/>
          <a:ext cx="3193774" cy="208885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281608</xdr:colOff>
      <xdr:row>29</xdr:row>
      <xdr:rowOff>99393</xdr:rowOff>
    </xdr:from>
    <xdr:to>
      <xdr:col>11</xdr:col>
      <xdr:colOff>117750</xdr:colOff>
      <xdr:row>40</xdr:row>
      <xdr:rowOff>116133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46BFA6-D215-485A-85EC-14218637D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5608" y="7131328"/>
          <a:ext cx="4929946" cy="2658892"/>
        </a:xfrm>
        <a:prstGeom prst="rect">
          <a:avLst/>
        </a:prstGeom>
      </xdr:spPr>
    </xdr:pic>
    <xdr:clientData/>
  </xdr:twoCellAnchor>
  <xdr:twoCellAnchor editAs="oneCell">
    <xdr:from>
      <xdr:col>11</xdr:col>
      <xdr:colOff>281610</xdr:colOff>
      <xdr:row>123</xdr:row>
      <xdr:rowOff>69988</xdr:rowOff>
    </xdr:from>
    <xdr:to>
      <xdr:col>14</xdr:col>
      <xdr:colOff>1005095</xdr:colOff>
      <xdr:row>132</xdr:row>
      <xdr:rowOff>84573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B0DBC9-BF9D-462B-85E8-35F4B9B6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0827" y="29672031"/>
          <a:ext cx="3779768" cy="2176346"/>
        </a:xfrm>
        <a:prstGeom prst="rect">
          <a:avLst/>
        </a:prstGeom>
      </xdr:spPr>
    </xdr:pic>
    <xdr:clientData/>
  </xdr:twoCellAnchor>
  <xdr:oneCellAnchor>
    <xdr:from>
      <xdr:col>13</xdr:col>
      <xdr:colOff>214934</xdr:colOff>
      <xdr:row>158</xdr:row>
      <xdr:rowOff>3728</xdr:rowOff>
    </xdr:from>
    <xdr:ext cx="1889312" cy="1064988"/>
    <xdr:pic>
      <xdr:nvPicPr>
        <xdr:cNvPr id="7" name="Imagen 6">
          <a:extLst>
            <a:ext uri="{FF2B5EF4-FFF2-40B4-BE49-F238E27FC236}">
              <a16:creationId xmlns:a16="http://schemas.microsoft.com/office/drawing/2014/main" id="{0CB235CA-741B-4D85-AF2B-88FBCC54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1673" y="38062315"/>
          <a:ext cx="1889312" cy="1064988"/>
        </a:xfrm>
        <a:prstGeom prst="rect">
          <a:avLst/>
        </a:prstGeom>
      </xdr:spPr>
    </xdr:pic>
    <xdr:clientData/>
  </xdr:oneCellAnchor>
  <xdr:oneCellAnchor>
    <xdr:from>
      <xdr:col>12</xdr:col>
      <xdr:colOff>885825</xdr:colOff>
      <xdr:row>193</xdr:row>
      <xdr:rowOff>28575</xdr:rowOff>
    </xdr:from>
    <xdr:ext cx="1889312" cy="1064988"/>
    <xdr:pic>
      <xdr:nvPicPr>
        <xdr:cNvPr id="8" name="Imagen 7">
          <a:extLst>
            <a:ext uri="{FF2B5EF4-FFF2-40B4-BE49-F238E27FC236}">
              <a16:creationId xmlns:a16="http://schemas.microsoft.com/office/drawing/2014/main" id="{47270E8D-A2D4-402B-958C-F53CA838F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3060" y="32581663"/>
          <a:ext cx="1889312" cy="1064988"/>
        </a:xfrm>
        <a:prstGeom prst="rect">
          <a:avLst/>
        </a:prstGeom>
      </xdr:spPr>
    </xdr:pic>
    <xdr:clientData/>
  </xdr:oneCellAnchor>
  <xdr:oneCellAnchor>
    <xdr:from>
      <xdr:col>11</xdr:col>
      <xdr:colOff>786848</xdr:colOff>
      <xdr:row>231</xdr:row>
      <xdr:rowOff>23569</xdr:rowOff>
    </xdr:from>
    <xdr:ext cx="3361960" cy="2147669"/>
    <xdr:pic>
      <xdr:nvPicPr>
        <xdr:cNvPr id="9" name="Imagen 8">
          <a:extLst>
            <a:ext uri="{FF2B5EF4-FFF2-40B4-BE49-F238E27FC236}">
              <a16:creationId xmlns:a16="http://schemas.microsoft.com/office/drawing/2014/main" id="{156D0E20-1D12-4869-BC10-B640ED04B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065" y="55624721"/>
          <a:ext cx="3361960" cy="214766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  <xdr:twoCellAnchor>
    <xdr:from>
      <xdr:col>6</xdr:col>
      <xdr:colOff>224118</xdr:colOff>
      <xdr:row>253</xdr:row>
      <xdr:rowOff>33617</xdr:rowOff>
    </xdr:from>
    <xdr:to>
      <xdr:col>6</xdr:col>
      <xdr:colOff>504265</xdr:colOff>
      <xdr:row>253</xdr:row>
      <xdr:rowOff>224117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26A5DAB1-39A2-A2A6-7709-8B127FB926CC}"/>
            </a:ext>
          </a:extLst>
        </xdr:cNvPr>
        <xdr:cNvSpPr/>
      </xdr:nvSpPr>
      <xdr:spPr>
        <a:xfrm>
          <a:off x="5939118" y="56343176"/>
          <a:ext cx="280147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224118</xdr:colOff>
      <xdr:row>254</xdr:row>
      <xdr:rowOff>33617</xdr:rowOff>
    </xdr:from>
    <xdr:to>
      <xdr:col>6</xdr:col>
      <xdr:colOff>504265</xdr:colOff>
      <xdr:row>254</xdr:row>
      <xdr:rowOff>224117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F43FBE76-0D3D-4C26-A176-5017B85BCD98}"/>
            </a:ext>
          </a:extLst>
        </xdr:cNvPr>
        <xdr:cNvSpPr/>
      </xdr:nvSpPr>
      <xdr:spPr>
        <a:xfrm>
          <a:off x="5939118" y="56343176"/>
          <a:ext cx="280147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F087-9EBD-49E3-B42A-F50930AECEC2}">
  <sheetPr>
    <tabColor theme="1"/>
  </sheetPr>
  <dimension ref="A1:G24"/>
  <sheetViews>
    <sheetView zoomScale="140" zoomScaleNormal="140" workbookViewId="0">
      <selection activeCell="E17" sqref="E17:K17"/>
    </sheetView>
  </sheetViews>
  <sheetFormatPr baseColWidth="10" defaultRowHeight="15" x14ac:dyDescent="0.25"/>
  <sheetData>
    <row r="1" spans="1:7" s="4" customFormat="1" x14ac:dyDescent="0.25">
      <c r="A1" s="271" t="s">
        <v>1</v>
      </c>
      <c r="B1" s="272" t="s">
        <v>0</v>
      </c>
      <c r="C1" s="272"/>
      <c r="D1" s="272"/>
      <c r="E1" s="272"/>
      <c r="F1" s="273"/>
    </row>
    <row r="2" spans="1:7" x14ac:dyDescent="0.25">
      <c r="A2" s="274"/>
      <c r="B2" s="7" t="s">
        <v>212</v>
      </c>
      <c r="C2" s="7"/>
      <c r="D2" s="7"/>
      <c r="E2" s="7"/>
      <c r="F2" s="275"/>
    </row>
    <row r="3" spans="1:7" x14ac:dyDescent="0.25">
      <c r="A3" s="274"/>
      <c r="B3" s="7" t="s">
        <v>213</v>
      </c>
      <c r="C3" s="7"/>
      <c r="D3" s="7"/>
      <c r="E3" s="7"/>
      <c r="F3" s="275"/>
    </row>
    <row r="4" spans="1:7" ht="15.75" thickBot="1" x14ac:dyDescent="0.3">
      <c r="A4" s="276"/>
      <c r="B4" s="277" t="s">
        <v>214</v>
      </c>
      <c r="C4" s="277"/>
      <c r="D4" s="277"/>
      <c r="E4" s="277"/>
      <c r="F4" s="278"/>
    </row>
    <row r="5" spans="1:7" x14ac:dyDescent="0.25">
      <c r="A5" s="12" t="s">
        <v>215</v>
      </c>
      <c r="B5" s="13"/>
      <c r="C5" s="13"/>
      <c r="D5" s="13"/>
      <c r="E5" s="13"/>
      <c r="F5" s="14"/>
    </row>
    <row r="6" spans="1:7" x14ac:dyDescent="0.25">
      <c r="A6" s="15" t="s">
        <v>216</v>
      </c>
      <c r="F6" s="16"/>
    </row>
    <row r="7" spans="1:7" x14ac:dyDescent="0.25">
      <c r="A7" s="15"/>
      <c r="B7" t="s">
        <v>217</v>
      </c>
      <c r="C7" t="s">
        <v>219</v>
      </c>
      <c r="F7" s="16"/>
    </row>
    <row r="8" spans="1:7" x14ac:dyDescent="0.25">
      <c r="A8" s="15"/>
      <c r="B8" t="s">
        <v>218</v>
      </c>
      <c r="F8" s="16"/>
    </row>
    <row r="9" spans="1:7" x14ac:dyDescent="0.25">
      <c r="A9" s="15" t="s">
        <v>220</v>
      </c>
      <c r="F9" s="16"/>
    </row>
    <row r="10" spans="1:7" x14ac:dyDescent="0.25">
      <c r="A10" s="15"/>
      <c r="B10" t="s">
        <v>221</v>
      </c>
      <c r="F10" s="16"/>
      <c r="G10" s="124" t="s">
        <v>225</v>
      </c>
    </row>
    <row r="11" spans="1:7" x14ac:dyDescent="0.25">
      <c r="A11" s="15"/>
      <c r="B11" t="s">
        <v>222</v>
      </c>
      <c r="F11" s="16"/>
      <c r="G11" s="124" t="s">
        <v>226</v>
      </c>
    </row>
    <row r="12" spans="1:7" x14ac:dyDescent="0.25">
      <c r="A12" s="15"/>
      <c r="B12" t="s">
        <v>223</v>
      </c>
      <c r="F12" s="16"/>
      <c r="G12" s="124"/>
    </row>
    <row r="13" spans="1:7" x14ac:dyDescent="0.25">
      <c r="A13" s="15"/>
      <c r="B13" t="s">
        <v>224</v>
      </c>
      <c r="F13" s="16"/>
      <c r="G13" s="124"/>
    </row>
    <row r="14" spans="1:7" x14ac:dyDescent="0.25">
      <c r="A14" s="15"/>
      <c r="B14" t="s">
        <v>235</v>
      </c>
      <c r="F14" s="16"/>
      <c r="G14" s="124"/>
    </row>
    <row r="15" spans="1:7" x14ac:dyDescent="0.25">
      <c r="A15" s="15"/>
      <c r="B15" t="s">
        <v>236</v>
      </c>
      <c r="F15" s="16"/>
    </row>
    <row r="16" spans="1:7" x14ac:dyDescent="0.25">
      <c r="A16" s="15" t="s">
        <v>227</v>
      </c>
      <c r="F16" s="16"/>
    </row>
    <row r="17" spans="1:6" x14ac:dyDescent="0.25">
      <c r="A17" s="15"/>
      <c r="B17" t="s">
        <v>228</v>
      </c>
      <c r="F17" s="16"/>
    </row>
    <row r="18" spans="1:6" x14ac:dyDescent="0.25">
      <c r="A18" s="15"/>
      <c r="B18" s="269" t="s">
        <v>229</v>
      </c>
      <c r="F18" s="16"/>
    </row>
    <row r="19" spans="1:6" x14ac:dyDescent="0.25">
      <c r="A19" s="15"/>
      <c r="B19" s="269" t="s">
        <v>234</v>
      </c>
      <c r="F19" s="16"/>
    </row>
    <row r="20" spans="1:6" x14ac:dyDescent="0.25">
      <c r="A20" s="15"/>
      <c r="B20" s="269" t="s">
        <v>230</v>
      </c>
      <c r="F20" s="16"/>
    </row>
    <row r="21" spans="1:6" x14ac:dyDescent="0.25">
      <c r="A21" s="15"/>
      <c r="B21" s="269" t="s">
        <v>225</v>
      </c>
      <c r="F21" s="16"/>
    </row>
    <row r="22" spans="1:6" x14ac:dyDescent="0.25">
      <c r="A22" s="15"/>
      <c r="B22" s="269" t="s">
        <v>231</v>
      </c>
      <c r="F22" s="16"/>
    </row>
    <row r="23" spans="1:6" x14ac:dyDescent="0.25">
      <c r="A23" s="15"/>
      <c r="B23" s="269" t="s">
        <v>232</v>
      </c>
      <c r="F23" s="16"/>
    </row>
    <row r="24" spans="1:6" ht="15.75" thickBot="1" x14ac:dyDescent="0.3">
      <c r="A24" s="17"/>
      <c r="B24" s="270" t="s">
        <v>233</v>
      </c>
      <c r="C24" s="18"/>
      <c r="D24" s="18"/>
      <c r="E24" s="18"/>
      <c r="F24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8F0A-8582-4A4E-AE47-A603734B4697}">
  <dimension ref="A1:P187"/>
  <sheetViews>
    <sheetView zoomScale="140" zoomScaleNormal="140" workbookViewId="0">
      <selection activeCell="E17" sqref="E17:K17"/>
    </sheetView>
  </sheetViews>
  <sheetFormatPr baseColWidth="10" defaultRowHeight="15" x14ac:dyDescent="0.25"/>
  <cols>
    <col min="1" max="1" width="11.42578125" style="162"/>
    <col min="2" max="2" width="15.5703125" style="162" customWidth="1"/>
    <col min="3" max="10" width="11.42578125" style="162"/>
    <col min="11" max="11" width="12.42578125" style="162" customWidth="1"/>
    <col min="12" max="16384" width="11.42578125" style="162"/>
  </cols>
  <sheetData>
    <row r="1" spans="1:14" ht="26.25" x14ac:dyDescent="0.4">
      <c r="A1" s="362" t="s">
        <v>323</v>
      </c>
    </row>
    <row r="3" spans="1:14" x14ac:dyDescent="0.25">
      <c r="A3" s="171" t="s">
        <v>42</v>
      </c>
      <c r="B3" s="364">
        <v>0.3</v>
      </c>
      <c r="C3" s="173"/>
    </row>
    <row r="4" spans="1:14" x14ac:dyDescent="0.25">
      <c r="A4" s="365" t="s">
        <v>324</v>
      </c>
      <c r="B4" s="24">
        <v>1200000</v>
      </c>
      <c r="C4" s="366"/>
    </row>
    <row r="5" spans="1:14" x14ac:dyDescent="0.25">
      <c r="A5" s="365" t="s">
        <v>325</v>
      </c>
      <c r="B5" s="24">
        <v>4</v>
      </c>
      <c r="C5" s="366">
        <f>+B4/B5</f>
        <v>300000</v>
      </c>
    </row>
    <row r="6" spans="1:14" x14ac:dyDescent="0.25">
      <c r="A6" s="174" t="s">
        <v>326</v>
      </c>
      <c r="B6" s="175">
        <v>10</v>
      </c>
      <c r="C6" s="176">
        <f>+B4/B6</f>
        <v>120000</v>
      </c>
    </row>
    <row r="8" spans="1:14" x14ac:dyDescent="0.25">
      <c r="A8" s="206" t="s">
        <v>327</v>
      </c>
      <c r="D8" s="363">
        <v>1</v>
      </c>
      <c r="E8" s="363">
        <f>+D8+1</f>
        <v>2</v>
      </c>
      <c r="F8" s="363">
        <f t="shared" ref="F8:M8" si="0">+E8+1</f>
        <v>3</v>
      </c>
      <c r="G8" s="363">
        <f t="shared" si="0"/>
        <v>4</v>
      </c>
      <c r="H8" s="363">
        <f t="shared" si="0"/>
        <v>5</v>
      </c>
      <c r="I8" s="363">
        <f t="shared" si="0"/>
        <v>6</v>
      </c>
      <c r="J8" s="363">
        <f t="shared" si="0"/>
        <v>7</v>
      </c>
      <c r="K8" s="363">
        <f t="shared" si="0"/>
        <v>8</v>
      </c>
      <c r="L8" s="363">
        <f t="shared" si="0"/>
        <v>9</v>
      </c>
      <c r="M8" s="363">
        <f t="shared" si="0"/>
        <v>10</v>
      </c>
    </row>
    <row r="9" spans="1:14" x14ac:dyDescent="0.25">
      <c r="B9" s="163" t="s">
        <v>90</v>
      </c>
    </row>
    <row r="10" spans="1:14" x14ac:dyDescent="0.25">
      <c r="B10" s="162" t="s">
        <v>328</v>
      </c>
      <c r="D10" s="162">
        <f>+$C$5*D8</f>
        <v>300000</v>
      </c>
      <c r="E10" s="162">
        <f>+$C$5*E8</f>
        <v>600000</v>
      </c>
      <c r="F10" s="162">
        <f>+$C$5*F8</f>
        <v>900000</v>
      </c>
      <c r="G10" s="162">
        <f>+$C$5*G8</f>
        <v>1200000</v>
      </c>
      <c r="H10" s="162">
        <f>+G10</f>
        <v>1200000</v>
      </c>
      <c r="I10" s="162">
        <f t="shared" ref="I10:M10" si="1">+H10</f>
        <v>1200000</v>
      </c>
      <c r="J10" s="162">
        <f t="shared" si="1"/>
        <v>1200000</v>
      </c>
      <c r="K10" s="162">
        <f t="shared" si="1"/>
        <v>1200000</v>
      </c>
      <c r="L10" s="162">
        <f t="shared" si="1"/>
        <v>1200000</v>
      </c>
      <c r="M10" s="162">
        <f t="shared" si="1"/>
        <v>1200000</v>
      </c>
    </row>
    <row r="11" spans="1:14" ht="15.75" thickBot="1" x14ac:dyDescent="0.3">
      <c r="B11" s="162" t="s">
        <v>329</v>
      </c>
      <c r="D11" s="162">
        <f>+$C$6*D8</f>
        <v>120000</v>
      </c>
      <c r="E11" s="162">
        <f t="shared" ref="E11:M11" si="2">+$C$6*E8</f>
        <v>240000</v>
      </c>
      <c r="F11" s="162">
        <f t="shared" si="2"/>
        <v>360000</v>
      </c>
      <c r="G11" s="162">
        <f t="shared" si="2"/>
        <v>480000</v>
      </c>
      <c r="H11" s="162">
        <f t="shared" si="2"/>
        <v>600000</v>
      </c>
      <c r="I11" s="162">
        <f t="shared" si="2"/>
        <v>720000</v>
      </c>
      <c r="J11" s="162">
        <f t="shared" si="2"/>
        <v>840000</v>
      </c>
      <c r="K11" s="162">
        <f t="shared" si="2"/>
        <v>960000</v>
      </c>
      <c r="L11" s="162">
        <f t="shared" si="2"/>
        <v>1080000</v>
      </c>
      <c r="M11" s="162">
        <f t="shared" si="2"/>
        <v>1200000</v>
      </c>
    </row>
    <row r="12" spans="1:14" x14ac:dyDescent="0.25">
      <c r="B12" s="367" t="s">
        <v>106</v>
      </c>
      <c r="C12" s="368"/>
      <c r="D12" s="368">
        <f>+D10-D11</f>
        <v>180000</v>
      </c>
      <c r="E12" s="368">
        <f t="shared" ref="E12:M12" si="3">+E10-E11</f>
        <v>360000</v>
      </c>
      <c r="F12" s="368">
        <f t="shared" si="3"/>
        <v>540000</v>
      </c>
      <c r="G12" s="368">
        <f t="shared" si="3"/>
        <v>720000</v>
      </c>
      <c r="H12" s="368">
        <f t="shared" si="3"/>
        <v>600000</v>
      </c>
      <c r="I12" s="368">
        <f t="shared" si="3"/>
        <v>480000</v>
      </c>
      <c r="J12" s="368">
        <f t="shared" si="3"/>
        <v>360000</v>
      </c>
      <c r="K12" s="368">
        <f t="shared" si="3"/>
        <v>240000</v>
      </c>
      <c r="L12" s="368">
        <f t="shared" si="3"/>
        <v>120000</v>
      </c>
      <c r="M12" s="368">
        <f t="shared" si="3"/>
        <v>0</v>
      </c>
      <c r="N12" s="369"/>
    </row>
    <row r="13" spans="1:14" x14ac:dyDescent="0.25">
      <c r="B13" s="301" t="s">
        <v>330</v>
      </c>
      <c r="C13" s="302"/>
      <c r="D13" s="302">
        <f>+D12*$B$3</f>
        <v>54000</v>
      </c>
      <c r="E13" s="302">
        <f t="shared" ref="E13:M13" si="4">+E12*$B$3</f>
        <v>108000</v>
      </c>
      <c r="F13" s="302">
        <f t="shared" si="4"/>
        <v>162000</v>
      </c>
      <c r="G13" s="302">
        <f t="shared" si="4"/>
        <v>216000</v>
      </c>
      <c r="H13" s="302">
        <f t="shared" si="4"/>
        <v>180000</v>
      </c>
      <c r="I13" s="302">
        <f t="shared" si="4"/>
        <v>144000</v>
      </c>
      <c r="J13" s="302">
        <f t="shared" si="4"/>
        <v>108000</v>
      </c>
      <c r="K13" s="302">
        <f t="shared" si="4"/>
        <v>72000</v>
      </c>
      <c r="L13" s="302">
        <f t="shared" si="4"/>
        <v>36000</v>
      </c>
      <c r="M13" s="302">
        <f t="shared" si="4"/>
        <v>0</v>
      </c>
      <c r="N13" s="303" t="s">
        <v>155</v>
      </c>
    </row>
    <row r="14" spans="1:14" ht="15.75" thickBot="1" x14ac:dyDescent="0.3">
      <c r="B14" s="370" t="s">
        <v>331</v>
      </c>
      <c r="C14" s="371"/>
      <c r="D14" s="371">
        <f>+D13</f>
        <v>54000</v>
      </c>
      <c r="E14" s="371">
        <f t="shared" ref="E14:M14" si="5">+E13-D13</f>
        <v>54000</v>
      </c>
      <c r="F14" s="371">
        <f t="shared" si="5"/>
        <v>54000</v>
      </c>
      <c r="G14" s="371">
        <f t="shared" si="5"/>
        <v>54000</v>
      </c>
      <c r="H14" s="371">
        <f t="shared" si="5"/>
        <v>-36000</v>
      </c>
      <c r="I14" s="371">
        <f t="shared" si="5"/>
        <v>-36000</v>
      </c>
      <c r="J14" s="371">
        <f t="shared" si="5"/>
        <v>-36000</v>
      </c>
      <c r="K14" s="371">
        <f t="shared" si="5"/>
        <v>-36000</v>
      </c>
      <c r="L14" s="371">
        <f t="shared" si="5"/>
        <v>-36000</v>
      </c>
      <c r="M14" s="371">
        <f t="shared" si="5"/>
        <v>-36000</v>
      </c>
      <c r="N14" s="372" t="s">
        <v>332</v>
      </c>
    </row>
    <row r="16" spans="1:14" x14ac:dyDescent="0.25">
      <c r="F16" s="162" t="s">
        <v>333</v>
      </c>
    </row>
    <row r="17" spans="1:6" x14ac:dyDescent="0.25">
      <c r="A17" s="162" t="s">
        <v>57</v>
      </c>
      <c r="B17" s="162" t="s">
        <v>72</v>
      </c>
      <c r="D17" s="162">
        <f>+D14</f>
        <v>54000</v>
      </c>
      <c r="F17" s="162">
        <f>+D17</f>
        <v>54000</v>
      </c>
    </row>
    <row r="18" spans="1:6" x14ac:dyDescent="0.25">
      <c r="B18" s="162" t="s">
        <v>84</v>
      </c>
      <c r="E18" s="162">
        <f>+D17</f>
        <v>54000</v>
      </c>
    </row>
    <row r="20" spans="1:6" x14ac:dyDescent="0.25">
      <c r="A20" s="162" t="s">
        <v>58</v>
      </c>
      <c r="B20" s="162" t="s">
        <v>72</v>
      </c>
      <c r="D20" s="162">
        <f>+E14</f>
        <v>54000</v>
      </c>
      <c r="F20" s="162">
        <f>+F17+D20-E20</f>
        <v>108000</v>
      </c>
    </row>
    <row r="21" spans="1:6" x14ac:dyDescent="0.25">
      <c r="B21" s="162" t="s">
        <v>84</v>
      </c>
      <c r="E21" s="162">
        <f>+D20</f>
        <v>54000</v>
      </c>
    </row>
    <row r="23" spans="1:6" x14ac:dyDescent="0.25">
      <c r="A23" s="162" t="s">
        <v>59</v>
      </c>
      <c r="B23" s="162" t="s">
        <v>72</v>
      </c>
      <c r="D23" s="162">
        <f>+F14</f>
        <v>54000</v>
      </c>
      <c r="F23" s="162">
        <f>+F20+D23-E23</f>
        <v>162000</v>
      </c>
    </row>
    <row r="24" spans="1:6" x14ac:dyDescent="0.25">
      <c r="B24" s="162" t="s">
        <v>84</v>
      </c>
      <c r="E24" s="162">
        <f>+D23</f>
        <v>54000</v>
      </c>
    </row>
    <row r="26" spans="1:6" x14ac:dyDescent="0.25">
      <c r="A26" s="162" t="s">
        <v>60</v>
      </c>
      <c r="B26" s="162" t="s">
        <v>72</v>
      </c>
      <c r="D26" s="162">
        <f>+G14</f>
        <v>54000</v>
      </c>
      <c r="F26" s="162">
        <f>+F23+D26-E26</f>
        <v>216000</v>
      </c>
    </row>
    <row r="27" spans="1:6" x14ac:dyDescent="0.25">
      <c r="B27" s="162" t="s">
        <v>84</v>
      </c>
      <c r="E27" s="162">
        <f>+D26</f>
        <v>54000</v>
      </c>
    </row>
    <row r="29" spans="1:6" x14ac:dyDescent="0.25">
      <c r="A29" s="162" t="s">
        <v>61</v>
      </c>
      <c r="B29" s="162" t="s">
        <v>72</v>
      </c>
      <c r="E29" s="162">
        <f>-H14</f>
        <v>36000</v>
      </c>
      <c r="F29" s="162">
        <f>+F26+D29-E29</f>
        <v>180000</v>
      </c>
    </row>
    <row r="30" spans="1:6" x14ac:dyDescent="0.25">
      <c r="B30" s="162" t="s">
        <v>84</v>
      </c>
      <c r="D30" s="162">
        <f>+E29</f>
        <v>36000</v>
      </c>
    </row>
    <row r="32" spans="1:6" x14ac:dyDescent="0.25">
      <c r="A32" s="162" t="s">
        <v>62</v>
      </c>
      <c r="B32" s="162" t="s">
        <v>72</v>
      </c>
      <c r="E32" s="162">
        <f>-I14</f>
        <v>36000</v>
      </c>
      <c r="F32" s="162">
        <f>+F29+D32-E32</f>
        <v>144000</v>
      </c>
    </row>
    <row r="33" spans="1:13" x14ac:dyDescent="0.25">
      <c r="B33" s="162" t="s">
        <v>84</v>
      </c>
      <c r="D33" s="162">
        <f>+E32</f>
        <v>36000</v>
      </c>
    </row>
    <row r="35" spans="1:13" x14ac:dyDescent="0.25">
      <c r="A35" s="162" t="s">
        <v>63</v>
      </c>
      <c r="B35" s="162" t="s">
        <v>72</v>
      </c>
      <c r="E35" s="162">
        <f>-J14</f>
        <v>36000</v>
      </c>
      <c r="F35" s="162">
        <f>+F32+D35-E35</f>
        <v>108000</v>
      </c>
    </row>
    <row r="36" spans="1:13" x14ac:dyDescent="0.25">
      <c r="B36" s="162" t="s">
        <v>84</v>
      </c>
      <c r="D36" s="162">
        <f>+E35</f>
        <v>36000</v>
      </c>
    </row>
    <row r="38" spans="1:13" x14ac:dyDescent="0.25">
      <c r="A38" s="162" t="s">
        <v>64</v>
      </c>
      <c r="B38" s="162" t="s">
        <v>72</v>
      </c>
      <c r="E38" s="162">
        <f>-K14</f>
        <v>36000</v>
      </c>
      <c r="F38" s="162">
        <f>+F35+D38-E38</f>
        <v>72000</v>
      </c>
    </row>
    <row r="39" spans="1:13" x14ac:dyDescent="0.25">
      <c r="B39" s="162" t="s">
        <v>84</v>
      </c>
      <c r="D39" s="162">
        <f>+E38</f>
        <v>36000</v>
      </c>
    </row>
    <row r="41" spans="1:13" x14ac:dyDescent="0.25">
      <c r="A41" s="162" t="s">
        <v>65</v>
      </c>
      <c r="B41" s="162" t="s">
        <v>72</v>
      </c>
      <c r="E41" s="162">
        <f>-L14</f>
        <v>36000</v>
      </c>
      <c r="F41" s="162">
        <f>+F38+D41-E41</f>
        <v>36000</v>
      </c>
    </row>
    <row r="42" spans="1:13" x14ac:dyDescent="0.25">
      <c r="B42" s="162" t="s">
        <v>84</v>
      </c>
      <c r="D42" s="162">
        <f>+E41</f>
        <v>36000</v>
      </c>
    </row>
    <row r="44" spans="1:13" x14ac:dyDescent="0.25">
      <c r="A44" s="162" t="s">
        <v>66</v>
      </c>
      <c r="B44" s="162" t="s">
        <v>72</v>
      </c>
      <c r="E44" s="162">
        <f>-M14</f>
        <v>36000</v>
      </c>
      <c r="F44" s="162">
        <f>+F41+D44-E44</f>
        <v>0</v>
      </c>
    </row>
    <row r="45" spans="1:13" x14ac:dyDescent="0.25">
      <c r="B45" s="162" t="s">
        <v>84</v>
      </c>
      <c r="D45" s="162">
        <f>+E44</f>
        <v>36000</v>
      </c>
    </row>
    <row r="48" spans="1:13" x14ac:dyDescent="0.25">
      <c r="A48" s="206" t="s">
        <v>334</v>
      </c>
      <c r="D48" s="363">
        <v>1</v>
      </c>
      <c r="E48" s="363">
        <f>+D48+1</f>
        <v>2</v>
      </c>
      <c r="F48" s="363">
        <f t="shared" ref="F48:M48" si="6">+E48+1</f>
        <v>3</v>
      </c>
      <c r="G48" s="363">
        <f t="shared" si="6"/>
        <v>4</v>
      </c>
      <c r="H48" s="363">
        <f t="shared" si="6"/>
        <v>5</v>
      </c>
      <c r="I48" s="363">
        <f t="shared" si="6"/>
        <v>6</v>
      </c>
      <c r="J48" s="363">
        <f t="shared" si="6"/>
        <v>7</v>
      </c>
      <c r="K48" s="363">
        <f t="shared" si="6"/>
        <v>8</v>
      </c>
      <c r="L48" s="363">
        <f t="shared" si="6"/>
        <v>9</v>
      </c>
      <c r="M48" s="363">
        <f t="shared" si="6"/>
        <v>10</v>
      </c>
    </row>
    <row r="49" spans="1:14" x14ac:dyDescent="0.25">
      <c r="B49" s="163" t="s">
        <v>335</v>
      </c>
    </row>
    <row r="50" spans="1:14" x14ac:dyDescent="0.25">
      <c r="B50" s="163" t="s">
        <v>51</v>
      </c>
      <c r="D50" s="162">
        <f>+B4</f>
        <v>1200000</v>
      </c>
      <c r="E50" s="162">
        <f>+D50</f>
        <v>1200000</v>
      </c>
      <c r="F50" s="162">
        <f t="shared" ref="F50:M50" si="7">+E50</f>
        <v>1200000</v>
      </c>
      <c r="G50" s="162">
        <f t="shared" si="7"/>
        <v>1200000</v>
      </c>
      <c r="H50" s="162">
        <f t="shared" si="7"/>
        <v>1200000</v>
      </c>
      <c r="I50" s="162">
        <f t="shared" si="7"/>
        <v>1200000</v>
      </c>
      <c r="J50" s="162">
        <f t="shared" si="7"/>
        <v>1200000</v>
      </c>
      <c r="K50" s="162">
        <f t="shared" si="7"/>
        <v>1200000</v>
      </c>
      <c r="L50" s="162">
        <f t="shared" si="7"/>
        <v>1200000</v>
      </c>
      <c r="M50" s="162">
        <f t="shared" si="7"/>
        <v>1200000</v>
      </c>
    </row>
    <row r="51" spans="1:14" x14ac:dyDescent="0.25">
      <c r="B51" s="162" t="s">
        <v>336</v>
      </c>
      <c r="D51" s="162">
        <f>+$C$5*D48</f>
        <v>300000</v>
      </c>
      <c r="E51" s="162">
        <f>+$C$5*E48</f>
        <v>600000</v>
      </c>
      <c r="F51" s="162">
        <f>+$C$5*F48</f>
        <v>900000</v>
      </c>
      <c r="G51" s="162">
        <f>+$C$5*G48</f>
        <v>1200000</v>
      </c>
      <c r="H51" s="162">
        <f>+G51</f>
        <v>1200000</v>
      </c>
      <c r="I51" s="162">
        <f t="shared" ref="I51:M51" si="8">+H51</f>
        <v>1200000</v>
      </c>
      <c r="J51" s="162">
        <f t="shared" si="8"/>
        <v>1200000</v>
      </c>
      <c r="K51" s="162">
        <f t="shared" si="8"/>
        <v>1200000</v>
      </c>
      <c r="L51" s="162">
        <f t="shared" si="8"/>
        <v>1200000</v>
      </c>
      <c r="M51" s="162">
        <f t="shared" si="8"/>
        <v>1200000</v>
      </c>
    </row>
    <row r="52" spans="1:14" x14ac:dyDescent="0.25">
      <c r="D52" s="205">
        <f>+D50-D51</f>
        <v>900000</v>
      </c>
      <c r="E52" s="205">
        <f t="shared" ref="E52:M52" si="9">+E50-E51</f>
        <v>600000</v>
      </c>
      <c r="F52" s="205">
        <f t="shared" si="9"/>
        <v>300000</v>
      </c>
      <c r="G52" s="205">
        <f t="shared" si="9"/>
        <v>0</v>
      </c>
      <c r="H52" s="205">
        <f t="shared" si="9"/>
        <v>0</v>
      </c>
      <c r="I52" s="205">
        <f t="shared" si="9"/>
        <v>0</v>
      </c>
      <c r="J52" s="205">
        <f t="shared" si="9"/>
        <v>0</v>
      </c>
      <c r="K52" s="205">
        <f t="shared" si="9"/>
        <v>0</v>
      </c>
      <c r="L52" s="205">
        <f t="shared" si="9"/>
        <v>0</v>
      </c>
      <c r="M52" s="205">
        <f t="shared" si="9"/>
        <v>0</v>
      </c>
    </row>
    <row r="54" spans="1:14" x14ac:dyDescent="0.25">
      <c r="B54" s="163" t="s">
        <v>337</v>
      </c>
    </row>
    <row r="55" spans="1:14" x14ac:dyDescent="0.25">
      <c r="B55" s="163" t="s">
        <v>51</v>
      </c>
      <c r="D55" s="162">
        <f>+D50</f>
        <v>1200000</v>
      </c>
      <c r="E55" s="162">
        <f>+D55</f>
        <v>1200000</v>
      </c>
      <c r="F55" s="162">
        <f t="shared" ref="F55:M55" si="10">+E55</f>
        <v>1200000</v>
      </c>
      <c r="G55" s="162">
        <f t="shared" si="10"/>
        <v>1200000</v>
      </c>
      <c r="H55" s="162">
        <f t="shared" si="10"/>
        <v>1200000</v>
      </c>
      <c r="I55" s="162">
        <f t="shared" si="10"/>
        <v>1200000</v>
      </c>
      <c r="J55" s="162">
        <f t="shared" si="10"/>
        <v>1200000</v>
      </c>
      <c r="K55" s="162">
        <f t="shared" si="10"/>
        <v>1200000</v>
      </c>
      <c r="L55" s="162">
        <f t="shared" si="10"/>
        <v>1200000</v>
      </c>
      <c r="M55" s="162">
        <f t="shared" si="10"/>
        <v>1200000</v>
      </c>
    </row>
    <row r="56" spans="1:14" x14ac:dyDescent="0.25">
      <c r="B56" s="162" t="s">
        <v>336</v>
      </c>
      <c r="D56" s="162">
        <f>+$C$6*D48</f>
        <v>120000</v>
      </c>
      <c r="E56" s="162">
        <f t="shared" ref="E56:M56" si="11">+$C$6*E48</f>
        <v>240000</v>
      </c>
      <c r="F56" s="162">
        <f t="shared" si="11"/>
        <v>360000</v>
      </c>
      <c r="G56" s="162">
        <f t="shared" si="11"/>
        <v>480000</v>
      </c>
      <c r="H56" s="162">
        <f t="shared" si="11"/>
        <v>600000</v>
      </c>
      <c r="I56" s="162">
        <f t="shared" si="11"/>
        <v>720000</v>
      </c>
      <c r="J56" s="162">
        <f t="shared" si="11"/>
        <v>840000</v>
      </c>
      <c r="K56" s="162">
        <f t="shared" si="11"/>
        <v>960000</v>
      </c>
      <c r="L56" s="162">
        <f t="shared" si="11"/>
        <v>1080000</v>
      </c>
      <c r="M56" s="162">
        <f t="shared" si="11"/>
        <v>1200000</v>
      </c>
    </row>
    <row r="57" spans="1:14" x14ac:dyDescent="0.25">
      <c r="D57" s="205">
        <f>+D55-D56</f>
        <v>1080000</v>
      </c>
      <c r="E57" s="205">
        <f t="shared" ref="E57:M57" si="12">+E55-E56</f>
        <v>960000</v>
      </c>
      <c r="F57" s="205">
        <f t="shared" si="12"/>
        <v>840000</v>
      </c>
      <c r="G57" s="205">
        <f t="shared" si="12"/>
        <v>720000</v>
      </c>
      <c r="H57" s="205">
        <f t="shared" si="12"/>
        <v>600000</v>
      </c>
      <c r="I57" s="205">
        <f t="shared" si="12"/>
        <v>480000</v>
      </c>
      <c r="J57" s="205">
        <f t="shared" si="12"/>
        <v>360000</v>
      </c>
      <c r="K57" s="205">
        <f t="shared" si="12"/>
        <v>240000</v>
      </c>
      <c r="L57" s="205">
        <f t="shared" si="12"/>
        <v>120000</v>
      </c>
      <c r="M57" s="205">
        <f t="shared" si="12"/>
        <v>0</v>
      </c>
    </row>
    <row r="58" spans="1:14" ht="15.75" thickBot="1" x14ac:dyDescent="0.3"/>
    <row r="59" spans="1:14" x14ac:dyDescent="0.25">
      <c r="B59" s="367" t="s">
        <v>106</v>
      </c>
      <c r="C59" s="368"/>
      <c r="D59" s="368">
        <f>+D57-D52</f>
        <v>180000</v>
      </c>
      <c r="E59" s="368">
        <f t="shared" ref="E59:M59" si="13">+E57-E52</f>
        <v>360000</v>
      </c>
      <c r="F59" s="368">
        <f t="shared" si="13"/>
        <v>540000</v>
      </c>
      <c r="G59" s="368">
        <f t="shared" si="13"/>
        <v>720000</v>
      </c>
      <c r="H59" s="368">
        <f t="shared" si="13"/>
        <v>600000</v>
      </c>
      <c r="I59" s="368">
        <f t="shared" si="13"/>
        <v>480000</v>
      </c>
      <c r="J59" s="368">
        <f t="shared" si="13"/>
        <v>360000</v>
      </c>
      <c r="K59" s="368">
        <f t="shared" si="13"/>
        <v>240000</v>
      </c>
      <c r="L59" s="368">
        <f t="shared" si="13"/>
        <v>120000</v>
      </c>
      <c r="M59" s="368">
        <f t="shared" si="13"/>
        <v>0</v>
      </c>
      <c r="N59" s="369"/>
    </row>
    <row r="60" spans="1:14" x14ac:dyDescent="0.25">
      <c r="B60" s="301" t="s">
        <v>330</v>
      </c>
      <c r="C60" s="302"/>
      <c r="D60" s="302">
        <f>+D59*$B$3</f>
        <v>54000</v>
      </c>
      <c r="E60" s="302">
        <f t="shared" ref="E60" si="14">+E59*$B$3</f>
        <v>108000</v>
      </c>
      <c r="F60" s="376">
        <f t="shared" ref="F60" si="15">+F59*$B$3</f>
        <v>162000</v>
      </c>
      <c r="G60" s="302">
        <f t="shared" ref="G60" si="16">+G59*$B$3</f>
        <v>216000</v>
      </c>
      <c r="H60" s="302">
        <f t="shared" ref="H60" si="17">+H59*$B$3</f>
        <v>180000</v>
      </c>
      <c r="I60" s="302">
        <f t="shared" ref="I60" si="18">+I59*$B$3</f>
        <v>144000</v>
      </c>
      <c r="J60" s="302">
        <f t="shared" ref="J60" si="19">+J59*$B$3</f>
        <v>108000</v>
      </c>
      <c r="K60" s="302">
        <f t="shared" ref="K60" si="20">+K59*$B$3</f>
        <v>72000</v>
      </c>
      <c r="L60" s="302">
        <f t="shared" ref="L60" si="21">+L59*$B$3</f>
        <v>36000</v>
      </c>
      <c r="M60" s="302">
        <f t="shared" ref="M60" si="22">+M59*$B$3</f>
        <v>0</v>
      </c>
      <c r="N60" s="303" t="s">
        <v>155</v>
      </c>
    </row>
    <row r="61" spans="1:14" ht="15.75" thickBot="1" x14ac:dyDescent="0.3">
      <c r="B61" s="370" t="s">
        <v>331</v>
      </c>
      <c r="C61" s="371"/>
      <c r="D61" s="371">
        <f>+D60</f>
        <v>54000</v>
      </c>
      <c r="E61" s="371">
        <f t="shared" ref="E61:M61" si="23">+E60-D60</f>
        <v>54000</v>
      </c>
      <c r="F61" s="371">
        <f t="shared" si="23"/>
        <v>54000</v>
      </c>
      <c r="G61" s="371">
        <f t="shared" si="23"/>
        <v>54000</v>
      </c>
      <c r="H61" s="371">
        <f t="shared" si="23"/>
        <v>-36000</v>
      </c>
      <c r="I61" s="371">
        <f t="shared" si="23"/>
        <v>-36000</v>
      </c>
      <c r="J61" s="371">
        <f t="shared" si="23"/>
        <v>-36000</v>
      </c>
      <c r="K61" s="371">
        <f t="shared" si="23"/>
        <v>-36000</v>
      </c>
      <c r="L61" s="371">
        <f t="shared" si="23"/>
        <v>-36000</v>
      </c>
      <c r="M61" s="371">
        <f t="shared" si="23"/>
        <v>-36000</v>
      </c>
      <c r="N61" s="372" t="s">
        <v>332</v>
      </c>
    </row>
    <row r="64" spans="1:14" x14ac:dyDescent="0.25">
      <c r="A64" s="206" t="s">
        <v>338</v>
      </c>
      <c r="C64" s="361">
        <v>0.3</v>
      </c>
      <c r="D64" s="363">
        <v>1</v>
      </c>
      <c r="E64" s="363">
        <f>+D64+1</f>
        <v>2</v>
      </c>
      <c r="F64" s="363">
        <f t="shared" ref="F64:M64" si="24">+E64+1</f>
        <v>3</v>
      </c>
      <c r="G64" s="363">
        <f t="shared" si="24"/>
        <v>4</v>
      </c>
      <c r="H64" s="363">
        <f t="shared" si="24"/>
        <v>5</v>
      </c>
      <c r="I64" s="363">
        <f t="shared" si="24"/>
        <v>6</v>
      </c>
      <c r="J64" s="363">
        <f t="shared" si="24"/>
        <v>7</v>
      </c>
      <c r="K64" s="363">
        <f t="shared" si="24"/>
        <v>8</v>
      </c>
      <c r="L64" s="363">
        <f t="shared" si="24"/>
        <v>9</v>
      </c>
      <c r="M64" s="363">
        <f t="shared" si="24"/>
        <v>10</v>
      </c>
    </row>
    <row r="65" spans="1:13" x14ac:dyDescent="0.25">
      <c r="B65" s="162" t="s">
        <v>339</v>
      </c>
      <c r="D65" s="162">
        <v>3000000</v>
      </c>
      <c r="E65" s="162">
        <v>4000000</v>
      </c>
      <c r="F65" s="375">
        <f ca="1">RANDBETWEEN(10,30)*100000</f>
        <v>1500000</v>
      </c>
      <c r="G65" s="162">
        <v>3000000</v>
      </c>
      <c r="H65" s="162">
        <v>3000000</v>
      </c>
      <c r="I65" s="162">
        <v>3000000</v>
      </c>
      <c r="J65" s="162">
        <v>3000000</v>
      </c>
      <c r="K65" s="162">
        <v>3000000</v>
      </c>
      <c r="L65" s="162">
        <v>3000000</v>
      </c>
      <c r="M65" s="162">
        <v>3000000</v>
      </c>
    </row>
    <row r="67" spans="1:13" x14ac:dyDescent="0.25">
      <c r="B67" s="162" t="s">
        <v>340</v>
      </c>
      <c r="D67" s="162">
        <f>+C5</f>
        <v>300000</v>
      </c>
      <c r="E67" s="162">
        <f>+D67</f>
        <v>300000</v>
      </c>
      <c r="F67" s="162">
        <f>+E67</f>
        <v>300000</v>
      </c>
      <c r="G67" s="162">
        <f>+F67</f>
        <v>300000</v>
      </c>
    </row>
    <row r="68" spans="1:13" x14ac:dyDescent="0.25">
      <c r="B68" s="162" t="s">
        <v>341</v>
      </c>
      <c r="D68" s="162">
        <f>-+C6</f>
        <v>-120000</v>
      </c>
      <c r="E68" s="162">
        <f>+D68</f>
        <v>-120000</v>
      </c>
      <c r="F68" s="162">
        <f>+E68</f>
        <v>-120000</v>
      </c>
      <c r="G68" s="162">
        <f t="shared" ref="G68:M68" si="25">+F68</f>
        <v>-120000</v>
      </c>
      <c r="H68" s="162">
        <f t="shared" si="25"/>
        <v>-120000</v>
      </c>
      <c r="I68" s="162">
        <f t="shared" si="25"/>
        <v>-120000</v>
      </c>
      <c r="J68" s="162">
        <f t="shared" si="25"/>
        <v>-120000</v>
      </c>
      <c r="K68" s="162">
        <f t="shared" si="25"/>
        <v>-120000</v>
      </c>
      <c r="L68" s="162">
        <f t="shared" si="25"/>
        <v>-120000</v>
      </c>
      <c r="M68" s="162">
        <f t="shared" si="25"/>
        <v>-120000</v>
      </c>
    </row>
    <row r="70" spans="1:13" x14ac:dyDescent="0.25">
      <c r="B70" s="162" t="s">
        <v>342</v>
      </c>
      <c r="D70" s="162">
        <f>SUM(D65:D69)</f>
        <v>3180000</v>
      </c>
      <c r="E70" s="162">
        <f t="shared" ref="E70:M70" si="26">SUM(E65:E69)</f>
        <v>4180000</v>
      </c>
      <c r="F70" s="162">
        <f t="shared" ca="1" si="26"/>
        <v>1680000</v>
      </c>
      <c r="G70" s="162">
        <f t="shared" si="26"/>
        <v>3180000</v>
      </c>
      <c r="H70" s="162">
        <f t="shared" si="26"/>
        <v>2880000</v>
      </c>
      <c r="I70" s="162">
        <f t="shared" si="26"/>
        <v>2880000</v>
      </c>
      <c r="J70" s="162">
        <f t="shared" si="26"/>
        <v>2880000</v>
      </c>
      <c r="K70" s="162">
        <f t="shared" si="26"/>
        <v>2880000</v>
      </c>
      <c r="L70" s="162">
        <f t="shared" si="26"/>
        <v>2880000</v>
      </c>
      <c r="M70" s="162">
        <f t="shared" si="26"/>
        <v>2880000</v>
      </c>
    </row>
    <row r="72" spans="1:13" x14ac:dyDescent="0.25">
      <c r="F72" s="373" t="s">
        <v>333</v>
      </c>
    </row>
    <row r="73" spans="1:13" x14ac:dyDescent="0.25">
      <c r="A73" s="162" t="s">
        <v>57</v>
      </c>
      <c r="B73" s="162" t="s">
        <v>344</v>
      </c>
      <c r="D73" s="167">
        <f>+D65*C64</f>
        <v>900000</v>
      </c>
      <c r="E73" s="167"/>
      <c r="G73" s="162" t="s">
        <v>328</v>
      </c>
    </row>
    <row r="74" spans="1:13" s="163" customFormat="1" x14ac:dyDescent="0.25">
      <c r="B74" s="163" t="s">
        <v>345</v>
      </c>
      <c r="D74" s="374">
        <f>+E75-D73</f>
        <v>54000</v>
      </c>
      <c r="E74" s="374"/>
      <c r="F74" s="163">
        <f>+D74</f>
        <v>54000</v>
      </c>
      <c r="J74" s="162"/>
    </row>
    <row r="75" spans="1:13" x14ac:dyDescent="0.25">
      <c r="B75" s="162" t="s">
        <v>343</v>
      </c>
      <c r="D75" s="167"/>
      <c r="E75" s="167">
        <f>+D70*C64</f>
        <v>954000</v>
      </c>
      <c r="G75" s="162" t="s">
        <v>329</v>
      </c>
    </row>
    <row r="77" spans="1:13" x14ac:dyDescent="0.25">
      <c r="A77" s="162" t="s">
        <v>58</v>
      </c>
      <c r="B77" s="162" t="s">
        <v>344</v>
      </c>
      <c r="D77" s="167">
        <f>+E65*C64</f>
        <v>1200000</v>
      </c>
      <c r="E77" s="167"/>
    </row>
    <row r="78" spans="1:13" x14ac:dyDescent="0.25">
      <c r="B78" s="162" t="s">
        <v>345</v>
      </c>
      <c r="D78" s="374">
        <f>+E79-D77</f>
        <v>54000</v>
      </c>
      <c r="E78" s="374"/>
      <c r="F78" s="163">
        <f>+F74+D78-E78</f>
        <v>108000</v>
      </c>
    </row>
    <row r="79" spans="1:13" x14ac:dyDescent="0.25">
      <c r="B79" s="162" t="s">
        <v>343</v>
      </c>
      <c r="D79" s="167"/>
      <c r="E79" s="167">
        <f>+E70*C64</f>
        <v>1254000</v>
      </c>
    </row>
    <row r="81" spans="1:6" x14ac:dyDescent="0.25">
      <c r="A81" s="162" t="s">
        <v>59</v>
      </c>
      <c r="B81" s="162" t="s">
        <v>344</v>
      </c>
      <c r="D81" s="167">
        <f ca="1">+F65*C64</f>
        <v>450000</v>
      </c>
      <c r="E81" s="167"/>
    </row>
    <row r="82" spans="1:6" x14ac:dyDescent="0.25">
      <c r="B82" s="162" t="s">
        <v>345</v>
      </c>
      <c r="D82" s="374">
        <f ca="1">+E83-D81</f>
        <v>54000</v>
      </c>
      <c r="E82" s="374"/>
      <c r="F82" s="163">
        <f ca="1">+F78+D82-E82</f>
        <v>162000</v>
      </c>
    </row>
    <row r="83" spans="1:6" x14ac:dyDescent="0.25">
      <c r="B83" s="162" t="s">
        <v>343</v>
      </c>
      <c r="D83" s="167"/>
      <c r="E83" s="167">
        <f ca="1">+F70*C64</f>
        <v>504000</v>
      </c>
    </row>
    <row r="85" spans="1:6" x14ac:dyDescent="0.25">
      <c r="A85" s="162" t="s">
        <v>60</v>
      </c>
      <c r="B85" s="162" t="s">
        <v>344</v>
      </c>
    </row>
    <row r="86" spans="1:6" x14ac:dyDescent="0.25">
      <c r="B86" s="162" t="s">
        <v>345</v>
      </c>
    </row>
    <row r="87" spans="1:6" x14ac:dyDescent="0.25">
      <c r="B87" s="162" t="s">
        <v>343</v>
      </c>
    </row>
    <row r="89" spans="1:6" x14ac:dyDescent="0.25">
      <c r="A89" s="162" t="s">
        <v>61</v>
      </c>
      <c r="B89" s="162" t="s">
        <v>344</v>
      </c>
    </row>
    <row r="90" spans="1:6" x14ac:dyDescent="0.25">
      <c r="B90" s="162" t="s">
        <v>345</v>
      </c>
    </row>
    <row r="91" spans="1:6" x14ac:dyDescent="0.25">
      <c r="B91" s="162" t="s">
        <v>343</v>
      </c>
    </row>
    <row r="93" spans="1:6" x14ac:dyDescent="0.25">
      <c r="A93" s="162" t="s">
        <v>62</v>
      </c>
      <c r="B93" s="162" t="s">
        <v>344</v>
      </c>
    </row>
    <row r="94" spans="1:6" x14ac:dyDescent="0.25">
      <c r="B94" s="162" t="s">
        <v>345</v>
      </c>
    </row>
    <row r="95" spans="1:6" x14ac:dyDescent="0.25">
      <c r="B95" s="162" t="s">
        <v>343</v>
      </c>
    </row>
    <row r="97" spans="1:2" x14ac:dyDescent="0.25">
      <c r="A97" s="162" t="s">
        <v>63</v>
      </c>
      <c r="B97" s="162" t="s">
        <v>344</v>
      </c>
    </row>
    <row r="98" spans="1:2" x14ac:dyDescent="0.25">
      <c r="B98" s="162" t="s">
        <v>345</v>
      </c>
    </row>
    <row r="99" spans="1:2" x14ac:dyDescent="0.25">
      <c r="B99" s="162" t="s">
        <v>343</v>
      </c>
    </row>
    <row r="101" spans="1:2" x14ac:dyDescent="0.25">
      <c r="A101" s="162" t="s">
        <v>64</v>
      </c>
      <c r="B101" s="162" t="s">
        <v>344</v>
      </c>
    </row>
    <row r="102" spans="1:2" x14ac:dyDescent="0.25">
      <c r="B102" s="162" t="s">
        <v>345</v>
      </c>
    </row>
    <row r="103" spans="1:2" x14ac:dyDescent="0.25">
      <c r="B103" s="162" t="s">
        <v>343</v>
      </c>
    </row>
    <row r="105" spans="1:2" x14ac:dyDescent="0.25">
      <c r="A105" s="162" t="s">
        <v>65</v>
      </c>
      <c r="B105" s="162" t="s">
        <v>344</v>
      </c>
    </row>
    <row r="106" spans="1:2" x14ac:dyDescent="0.25">
      <c r="B106" s="162" t="s">
        <v>345</v>
      </c>
    </row>
    <row r="107" spans="1:2" x14ac:dyDescent="0.25">
      <c r="B107" s="162" t="s">
        <v>343</v>
      </c>
    </row>
    <row r="109" spans="1:2" x14ac:dyDescent="0.25">
      <c r="A109" s="162" t="s">
        <v>66</v>
      </c>
      <c r="B109" s="162" t="s">
        <v>344</v>
      </c>
    </row>
    <row r="110" spans="1:2" x14ac:dyDescent="0.25">
      <c r="B110" s="162" t="s">
        <v>345</v>
      </c>
    </row>
    <row r="111" spans="1:2" x14ac:dyDescent="0.25">
      <c r="B111" s="162" t="s">
        <v>343</v>
      </c>
    </row>
    <row r="114" spans="1:13" x14ac:dyDescent="0.25">
      <c r="A114" s="206" t="s">
        <v>346</v>
      </c>
      <c r="C114" s="361">
        <v>0.3</v>
      </c>
      <c r="D114" s="363">
        <v>1</v>
      </c>
      <c r="E114" s="363">
        <f>+D114+1</f>
        <v>2</v>
      </c>
      <c r="F114" s="363">
        <f t="shared" ref="F114:M114" si="27">+E114+1</f>
        <v>3</v>
      </c>
      <c r="G114" s="363">
        <f t="shared" si="27"/>
        <v>4</v>
      </c>
      <c r="H114" s="363">
        <f t="shared" si="27"/>
        <v>5</v>
      </c>
      <c r="I114" s="363">
        <f t="shared" si="27"/>
        <v>6</v>
      </c>
      <c r="J114" s="363">
        <f t="shared" si="27"/>
        <v>7</v>
      </c>
      <c r="K114" s="363">
        <f t="shared" si="27"/>
        <v>8</v>
      </c>
      <c r="L114" s="363">
        <f t="shared" si="27"/>
        <v>9</v>
      </c>
      <c r="M114" s="363">
        <f t="shared" si="27"/>
        <v>10</v>
      </c>
    </row>
    <row r="115" spans="1:13" x14ac:dyDescent="0.25">
      <c r="B115" s="162" t="s">
        <v>339</v>
      </c>
      <c r="D115" s="162">
        <v>3000000</v>
      </c>
      <c r="E115" s="162">
        <v>4000000</v>
      </c>
      <c r="F115" s="375">
        <f ca="1">RANDBETWEEN(10,30)*100000</f>
        <v>2400000</v>
      </c>
      <c r="G115" s="162">
        <v>3000000</v>
      </c>
      <c r="H115" s="162">
        <v>3000000</v>
      </c>
      <c r="I115" s="162">
        <v>3000000</v>
      </c>
      <c r="J115" s="162">
        <v>3000000</v>
      </c>
      <c r="K115" s="162">
        <v>3000000</v>
      </c>
      <c r="L115" s="162">
        <v>3000000</v>
      </c>
      <c r="M115" s="162">
        <v>3000000</v>
      </c>
    </row>
    <row r="117" spans="1:13" x14ac:dyDescent="0.25">
      <c r="B117" s="162" t="s">
        <v>340</v>
      </c>
      <c r="D117" s="162">
        <f>+D67</f>
        <v>300000</v>
      </c>
      <c r="E117" s="162">
        <f t="shared" ref="E117:M117" si="28">+E67</f>
        <v>300000</v>
      </c>
      <c r="F117" s="162">
        <f t="shared" si="28"/>
        <v>300000</v>
      </c>
      <c r="G117" s="162">
        <f t="shared" si="28"/>
        <v>300000</v>
      </c>
      <c r="H117" s="162">
        <f t="shared" si="28"/>
        <v>0</v>
      </c>
      <c r="I117" s="162">
        <f t="shared" si="28"/>
        <v>0</v>
      </c>
      <c r="J117" s="162">
        <f t="shared" si="28"/>
        <v>0</v>
      </c>
      <c r="K117" s="162">
        <f t="shared" si="28"/>
        <v>0</v>
      </c>
      <c r="L117" s="162">
        <f t="shared" si="28"/>
        <v>0</v>
      </c>
      <c r="M117" s="162">
        <f t="shared" si="28"/>
        <v>0</v>
      </c>
    </row>
    <row r="118" spans="1:13" x14ac:dyDescent="0.25">
      <c r="B118" s="162" t="s">
        <v>341</v>
      </c>
      <c r="D118" s="162">
        <f t="shared" ref="D118:M118" si="29">+D68</f>
        <v>-120000</v>
      </c>
      <c r="E118" s="162">
        <f t="shared" si="29"/>
        <v>-120000</v>
      </c>
      <c r="F118" s="162">
        <f t="shared" si="29"/>
        <v>-120000</v>
      </c>
      <c r="G118" s="162">
        <f t="shared" si="29"/>
        <v>-120000</v>
      </c>
      <c r="H118" s="162">
        <f t="shared" si="29"/>
        <v>-120000</v>
      </c>
      <c r="I118" s="162">
        <f t="shared" si="29"/>
        <v>-120000</v>
      </c>
      <c r="J118" s="162">
        <f t="shared" si="29"/>
        <v>-120000</v>
      </c>
      <c r="K118" s="162">
        <f t="shared" si="29"/>
        <v>-120000</v>
      </c>
      <c r="L118" s="162">
        <f t="shared" si="29"/>
        <v>-120000</v>
      </c>
      <c r="M118" s="162">
        <f t="shared" si="29"/>
        <v>-120000</v>
      </c>
    </row>
    <row r="120" spans="1:13" x14ac:dyDescent="0.25">
      <c r="B120" s="162" t="s">
        <v>342</v>
      </c>
      <c r="D120" s="162">
        <f>SUM(D115:D119)</f>
        <v>3180000</v>
      </c>
      <c r="E120" s="162">
        <f t="shared" ref="E120" si="30">SUM(E115:E119)</f>
        <v>4180000</v>
      </c>
      <c r="F120" s="162">
        <f t="shared" ref="F120" ca="1" si="31">SUM(F115:F119)</f>
        <v>2580000</v>
      </c>
      <c r="G120" s="162">
        <f t="shared" ref="G120" si="32">SUM(G115:G119)</f>
        <v>3180000</v>
      </c>
      <c r="H120" s="162">
        <f t="shared" ref="H120" si="33">SUM(H115:H119)</f>
        <v>2880000</v>
      </c>
      <c r="I120" s="162">
        <f t="shared" ref="I120" si="34">SUM(I115:I119)</f>
        <v>2880000</v>
      </c>
      <c r="J120" s="162">
        <f t="shared" ref="J120" si="35">SUM(J115:J119)</f>
        <v>2880000</v>
      </c>
      <c r="K120" s="162">
        <f t="shared" ref="K120" si="36">SUM(K115:K119)</f>
        <v>2880000</v>
      </c>
      <c r="L120" s="162">
        <f t="shared" ref="L120" si="37">SUM(L115:L119)</f>
        <v>2880000</v>
      </c>
      <c r="M120" s="162">
        <f t="shared" ref="M120" si="38">SUM(M115:M119)</f>
        <v>2880000</v>
      </c>
    </row>
    <row r="122" spans="1:13" ht="15.75" thickBot="1" x14ac:dyDescent="0.3">
      <c r="B122" s="163" t="s">
        <v>347</v>
      </c>
      <c r="D122" s="163">
        <f>SUM($D$117:D118)</f>
        <v>180000</v>
      </c>
      <c r="E122" s="163">
        <f>SUM($D$117:E118)</f>
        <v>360000</v>
      </c>
      <c r="F122" s="163">
        <f>SUM($D$117:F118)</f>
        <v>540000</v>
      </c>
      <c r="G122" s="163">
        <f>SUM($D$117:G118)</f>
        <v>720000</v>
      </c>
      <c r="H122" s="163">
        <f>SUM($D$117:H118)</f>
        <v>600000</v>
      </c>
      <c r="I122" s="163">
        <f>SUM($D$117:I118)</f>
        <v>480000</v>
      </c>
      <c r="J122" s="163">
        <f>SUM($D$117:J118)</f>
        <v>360000</v>
      </c>
      <c r="K122" s="163">
        <f>SUM($D$117:K118)</f>
        <v>240000</v>
      </c>
      <c r="L122" s="163">
        <f>SUM($D$117:L118)</f>
        <v>120000</v>
      </c>
      <c r="M122" s="163">
        <f>SUM($D$117:M118)</f>
        <v>0</v>
      </c>
    </row>
    <row r="123" spans="1:13" ht="15.75" thickBot="1" x14ac:dyDescent="0.3">
      <c r="B123" s="162" t="s">
        <v>72</v>
      </c>
      <c r="D123" s="377">
        <f>+D122*$C$114</f>
        <v>54000</v>
      </c>
      <c r="E123" s="378">
        <f t="shared" ref="E123:M123" si="39">+E122*$C$114</f>
        <v>108000</v>
      </c>
      <c r="F123" s="378">
        <f t="shared" si="39"/>
        <v>162000</v>
      </c>
      <c r="G123" s="378">
        <f t="shared" si="39"/>
        <v>216000</v>
      </c>
      <c r="H123" s="378">
        <f t="shared" si="39"/>
        <v>180000</v>
      </c>
      <c r="I123" s="378">
        <f t="shared" si="39"/>
        <v>144000</v>
      </c>
      <c r="J123" s="378">
        <f t="shared" si="39"/>
        <v>108000</v>
      </c>
      <c r="K123" s="378">
        <f t="shared" si="39"/>
        <v>72000</v>
      </c>
      <c r="L123" s="378">
        <f t="shared" si="39"/>
        <v>36000</v>
      </c>
      <c r="M123" s="379">
        <f t="shared" si="39"/>
        <v>0</v>
      </c>
    </row>
    <row r="126" spans="1:13" ht="15.75" thickBot="1" x14ac:dyDescent="0.3"/>
    <row r="127" spans="1:13" ht="15.75" thickBot="1" x14ac:dyDescent="0.3">
      <c r="A127" s="206" t="s">
        <v>348</v>
      </c>
      <c r="B127" s="206"/>
      <c r="D127" s="222"/>
      <c r="E127" s="185"/>
      <c r="F127" s="185"/>
      <c r="G127" s="185"/>
      <c r="H127" s="185"/>
      <c r="I127" s="185"/>
      <c r="J127" s="380">
        <v>0.3</v>
      </c>
      <c r="K127" s="185"/>
      <c r="L127" s="186"/>
    </row>
    <row r="128" spans="1:13" ht="15.75" thickBot="1" x14ac:dyDescent="0.3">
      <c r="D128" s="189"/>
      <c r="E128" s="24"/>
      <c r="F128" s="446" t="s">
        <v>349</v>
      </c>
      <c r="G128" s="447"/>
      <c r="H128" s="447"/>
      <c r="I128" s="447"/>
      <c r="J128" s="448"/>
      <c r="K128" s="24"/>
      <c r="L128" s="27"/>
    </row>
    <row r="129" spans="4:12" ht="15.75" thickBot="1" x14ac:dyDescent="0.3">
      <c r="D129" s="189"/>
      <c r="E129" s="247"/>
      <c r="F129" s="248" t="s">
        <v>160</v>
      </c>
      <c r="G129" s="191"/>
      <c r="H129" s="191"/>
      <c r="I129" s="191"/>
      <c r="J129" s="192"/>
      <c r="K129" s="247"/>
      <c r="L129" s="27"/>
    </row>
    <row r="130" spans="4:12" x14ac:dyDescent="0.25">
      <c r="D130" s="189"/>
      <c r="E130" s="249" t="s">
        <v>186</v>
      </c>
      <c r="F130" s="183" t="s">
        <v>95</v>
      </c>
      <c r="G130" s="183"/>
      <c r="H130" s="183"/>
      <c r="I130" s="183"/>
      <c r="J130" s="188">
        <f>+D115</f>
        <v>3000000</v>
      </c>
      <c r="K130" s="249" t="s">
        <v>186</v>
      </c>
      <c r="L130" s="27"/>
    </row>
    <row r="131" spans="4:12" x14ac:dyDescent="0.25">
      <c r="D131" s="189"/>
      <c r="E131" s="249" t="s">
        <v>187</v>
      </c>
      <c r="F131" s="210" t="s">
        <v>161</v>
      </c>
      <c r="G131" s="210"/>
      <c r="H131" s="210"/>
      <c r="I131" s="210"/>
      <c r="J131" s="211">
        <f>+D117</f>
        <v>300000</v>
      </c>
      <c r="K131" s="249" t="s">
        <v>185</v>
      </c>
      <c r="L131" s="27"/>
    </row>
    <row r="132" spans="4:12" x14ac:dyDescent="0.25">
      <c r="D132" s="189"/>
      <c r="E132" s="249" t="s">
        <v>183</v>
      </c>
      <c r="F132" s="24" t="s">
        <v>162</v>
      </c>
      <c r="G132" s="24"/>
      <c r="H132" s="24"/>
      <c r="I132" s="24"/>
      <c r="J132" s="211">
        <f>+D118</f>
        <v>-120000</v>
      </c>
      <c r="K132" s="249" t="s">
        <v>183</v>
      </c>
      <c r="L132" s="27"/>
    </row>
    <row r="133" spans="4:12" ht="15.75" thickBot="1" x14ac:dyDescent="0.3">
      <c r="D133" s="189"/>
      <c r="E133" s="249" t="s">
        <v>184</v>
      </c>
      <c r="F133" s="234" t="s">
        <v>178</v>
      </c>
      <c r="G133" s="234"/>
      <c r="H133" s="234"/>
      <c r="I133" s="234"/>
      <c r="J133" s="234">
        <f>+I118</f>
        <v>-120000</v>
      </c>
      <c r="K133" s="249" t="s">
        <v>184</v>
      </c>
      <c r="L133" s="27"/>
    </row>
    <row r="134" spans="4:12" ht="15.75" thickBot="1" x14ac:dyDescent="0.3">
      <c r="D134" s="189"/>
      <c r="E134" s="250">
        <f>+C12</f>
        <v>0</v>
      </c>
      <c r="F134" s="195" t="s">
        <v>78</v>
      </c>
      <c r="G134" s="196"/>
      <c r="H134" s="196"/>
      <c r="I134" s="196"/>
      <c r="J134" s="197">
        <f>SUM(J130:J133)</f>
        <v>3060000</v>
      </c>
      <c r="K134" s="250">
        <f>+D12</f>
        <v>180000</v>
      </c>
      <c r="L134" s="27"/>
    </row>
    <row r="135" spans="4:12" ht="15.75" thickBot="1" x14ac:dyDescent="0.3">
      <c r="D135" s="189"/>
      <c r="E135" s="24"/>
      <c r="F135" s="200" t="s">
        <v>159</v>
      </c>
      <c r="G135" s="201"/>
      <c r="H135" s="201"/>
      <c r="I135" s="201"/>
      <c r="J135" s="202">
        <f>-+J134*J127</f>
        <v>-918000</v>
      </c>
      <c r="K135" s="24"/>
      <c r="L135" s="27"/>
    </row>
    <row r="136" spans="4:12" ht="15.75" thickBot="1" x14ac:dyDescent="0.3">
      <c r="D136" s="189"/>
      <c r="E136" s="250">
        <f>+E134*J127</f>
        <v>0</v>
      </c>
      <c r="F136" s="24"/>
      <c r="G136" s="24"/>
      <c r="H136" s="24"/>
      <c r="I136" s="24"/>
      <c r="J136" s="24"/>
      <c r="K136" s="250">
        <f>+K134*J127</f>
        <v>54000</v>
      </c>
      <c r="L136" s="27"/>
    </row>
    <row r="137" spans="4:12" x14ac:dyDescent="0.25">
      <c r="D137" s="189"/>
      <c r="E137" s="223" t="s">
        <v>188</v>
      </c>
      <c r="F137" s="24"/>
      <c r="G137" s="24"/>
      <c r="H137" s="24"/>
      <c r="I137" s="24"/>
      <c r="J137" s="24"/>
      <c r="K137" s="223" t="s">
        <v>189</v>
      </c>
      <c r="L137" s="27"/>
    </row>
    <row r="138" spans="4:12" ht="15.75" thickBot="1" x14ac:dyDescent="0.3">
      <c r="D138" s="189"/>
      <c r="E138" s="24"/>
      <c r="F138" s="24"/>
      <c r="G138" s="24"/>
      <c r="H138" s="24"/>
      <c r="I138" s="24"/>
      <c r="J138" s="24"/>
      <c r="K138" s="24"/>
      <c r="L138" s="27"/>
    </row>
    <row r="139" spans="4:12" x14ac:dyDescent="0.25">
      <c r="D139" s="189"/>
      <c r="E139" s="24"/>
      <c r="F139" s="184" t="s">
        <v>180</v>
      </c>
      <c r="G139" s="251"/>
      <c r="H139" s="251"/>
      <c r="I139" s="251">
        <f>-J135</f>
        <v>918000</v>
      </c>
      <c r="J139" s="252"/>
      <c r="K139" s="24"/>
      <c r="L139" s="27"/>
    </row>
    <row r="140" spans="4:12" ht="15.75" thickBot="1" x14ac:dyDescent="0.3">
      <c r="D140" s="189"/>
      <c r="E140" s="24"/>
      <c r="F140" s="253" t="s">
        <v>181</v>
      </c>
      <c r="G140" s="254"/>
      <c r="H140" s="254"/>
      <c r="I140" s="254"/>
      <c r="J140" s="255">
        <f>+I139</f>
        <v>918000</v>
      </c>
      <c r="K140" s="24"/>
      <c r="L140" s="27"/>
    </row>
    <row r="141" spans="4:12" ht="15.75" thickBot="1" x14ac:dyDescent="0.3">
      <c r="D141" s="189"/>
      <c r="E141" s="24"/>
      <c r="F141" s="24"/>
      <c r="G141" s="24"/>
      <c r="H141" s="24"/>
      <c r="I141" s="24"/>
      <c r="J141" s="24"/>
      <c r="K141" s="24"/>
      <c r="L141" s="27"/>
    </row>
    <row r="142" spans="4:12" x14ac:dyDescent="0.25">
      <c r="D142" s="189"/>
      <c r="E142" s="24"/>
      <c r="F142" s="184" t="s">
        <v>72</v>
      </c>
      <c r="G142" s="185"/>
      <c r="H142" s="185"/>
      <c r="I142" s="251">
        <f>+K136-E136</f>
        <v>54000</v>
      </c>
      <c r="J142" s="252"/>
      <c r="K142" s="24"/>
      <c r="L142" s="27"/>
    </row>
    <row r="143" spans="4:12" ht="15.75" thickBot="1" x14ac:dyDescent="0.3">
      <c r="D143" s="189"/>
      <c r="E143" s="24"/>
      <c r="F143" s="253" t="s">
        <v>84</v>
      </c>
      <c r="G143" s="225"/>
      <c r="H143" s="225"/>
      <c r="I143" s="254"/>
      <c r="J143" s="255">
        <f>+I142</f>
        <v>54000</v>
      </c>
      <c r="K143" s="24"/>
      <c r="L143" s="27"/>
    </row>
    <row r="144" spans="4:12" ht="15.75" thickBot="1" x14ac:dyDescent="0.3">
      <c r="D144" s="224"/>
      <c r="E144" s="225"/>
      <c r="F144" s="225"/>
      <c r="G144" s="225"/>
      <c r="H144" s="225"/>
      <c r="I144" s="225"/>
      <c r="J144" s="225"/>
      <c r="K144" s="225"/>
      <c r="L144" s="246"/>
    </row>
    <row r="145" spans="1:16" ht="15.75" thickBot="1" x14ac:dyDescent="0.3"/>
    <row r="146" spans="1:16" x14ac:dyDescent="0.25">
      <c r="D146" s="256" t="s">
        <v>190</v>
      </c>
      <c r="E146" s="257"/>
      <c r="F146" s="257" t="s">
        <v>191</v>
      </c>
      <c r="G146" s="257"/>
      <c r="H146" s="257"/>
      <c r="I146" s="257"/>
      <c r="J146" s="257">
        <f>+K134-E134</f>
        <v>180000</v>
      </c>
      <c r="K146" s="257"/>
      <c r="L146" s="258"/>
    </row>
    <row r="147" spans="1:16" x14ac:dyDescent="0.25">
      <c r="D147" s="259"/>
      <c r="E147" s="260"/>
      <c r="F147" s="260" t="s">
        <v>192</v>
      </c>
      <c r="G147" s="260"/>
      <c r="H147" s="260"/>
      <c r="I147" s="260"/>
      <c r="J147" s="260">
        <f>+J131+J132</f>
        <v>180000</v>
      </c>
      <c r="K147" s="260"/>
      <c r="L147" s="261"/>
    </row>
    <row r="148" spans="1:16" x14ac:dyDescent="0.25">
      <c r="D148" s="259"/>
      <c r="E148" s="260"/>
      <c r="F148" s="262" t="s">
        <v>193</v>
      </c>
      <c r="G148" s="262"/>
      <c r="H148" s="262"/>
      <c r="I148" s="262"/>
      <c r="J148" s="262">
        <f>+J146-J147</f>
        <v>0</v>
      </c>
      <c r="K148" s="260"/>
      <c r="L148" s="261"/>
    </row>
    <row r="149" spans="1:16" x14ac:dyDescent="0.25">
      <c r="D149" s="259"/>
      <c r="E149" s="260"/>
      <c r="F149" s="260"/>
      <c r="G149" s="260"/>
      <c r="H149" s="260"/>
      <c r="I149" s="260"/>
      <c r="J149" s="260"/>
      <c r="K149" s="260"/>
      <c r="L149" s="261"/>
    </row>
    <row r="150" spans="1:16" x14ac:dyDescent="0.25">
      <c r="D150" s="263" t="s">
        <v>194</v>
      </c>
      <c r="E150" s="260"/>
      <c r="F150" s="260" t="s">
        <v>195</v>
      </c>
      <c r="G150" s="260"/>
      <c r="H150" s="260"/>
      <c r="I150" s="260"/>
      <c r="J150" s="260">
        <f>(J131+J132)*J127</f>
        <v>54000</v>
      </c>
      <c r="K150" s="260"/>
      <c r="L150" s="261"/>
    </row>
    <row r="151" spans="1:16" x14ac:dyDescent="0.25">
      <c r="D151" s="259"/>
      <c r="E151" s="260"/>
      <c r="F151" s="260" t="s">
        <v>196</v>
      </c>
      <c r="G151" s="260"/>
      <c r="H151" s="260"/>
      <c r="I151" s="260"/>
      <c r="J151" s="260">
        <f>+K136-E136</f>
        <v>54000</v>
      </c>
      <c r="K151" s="260"/>
      <c r="L151" s="261"/>
    </row>
    <row r="152" spans="1:16" x14ac:dyDescent="0.25">
      <c r="D152" s="259"/>
      <c r="E152" s="260"/>
      <c r="F152" s="262" t="s">
        <v>193</v>
      </c>
      <c r="G152" s="262"/>
      <c r="H152" s="262"/>
      <c r="I152" s="262"/>
      <c r="J152" s="262">
        <f>+J150-J151</f>
        <v>0</v>
      </c>
      <c r="K152" s="260"/>
      <c r="L152" s="261"/>
    </row>
    <row r="153" spans="1:16" x14ac:dyDescent="0.25">
      <c r="D153" s="259"/>
      <c r="E153" s="260"/>
      <c r="F153" s="260"/>
      <c r="G153" s="260"/>
      <c r="H153" s="260"/>
      <c r="I153" s="260"/>
      <c r="J153" s="260"/>
      <c r="K153" s="260"/>
      <c r="L153" s="261"/>
    </row>
    <row r="154" spans="1:16" x14ac:dyDescent="0.25">
      <c r="D154" s="263" t="s">
        <v>197</v>
      </c>
      <c r="E154" s="260"/>
      <c r="F154" s="260" t="s">
        <v>198</v>
      </c>
      <c r="G154" s="260"/>
      <c r="H154" s="260"/>
      <c r="I154" s="260"/>
      <c r="J154" s="260">
        <f>-I139+J143</f>
        <v>-864000</v>
      </c>
      <c r="K154" s="260"/>
      <c r="L154" s="261"/>
    </row>
    <row r="155" spans="1:16" x14ac:dyDescent="0.25">
      <c r="D155" s="259"/>
      <c r="E155" s="260"/>
      <c r="F155" s="260" t="s">
        <v>199</v>
      </c>
      <c r="G155" s="260"/>
      <c r="H155" s="260"/>
      <c r="I155" s="260"/>
      <c r="J155" s="260">
        <f>-(J130+J133)*J127</f>
        <v>-864000</v>
      </c>
      <c r="K155" s="260"/>
      <c r="L155" s="261"/>
    </row>
    <row r="156" spans="1:16" ht="15.75" thickBot="1" x14ac:dyDescent="0.3">
      <c r="D156" s="264"/>
      <c r="E156" s="265"/>
      <c r="F156" s="266" t="s">
        <v>193</v>
      </c>
      <c r="G156" s="266"/>
      <c r="H156" s="266"/>
      <c r="I156" s="266"/>
      <c r="J156" s="266">
        <f>+J154-J155</f>
        <v>0</v>
      </c>
      <c r="K156" s="265"/>
      <c r="L156" s="267"/>
    </row>
    <row r="157" spans="1:16" ht="15.75" thickBot="1" x14ac:dyDescent="0.3"/>
    <row r="158" spans="1:16" ht="15.75" thickBot="1" x14ac:dyDescent="0.3">
      <c r="A158" s="206" t="s">
        <v>348</v>
      </c>
      <c r="B158" s="206"/>
      <c r="D158" s="222"/>
      <c r="E158" s="185"/>
      <c r="F158" s="185"/>
      <c r="G158" s="185"/>
      <c r="H158" s="185"/>
      <c r="I158" s="185"/>
      <c r="J158" s="380">
        <v>0.3</v>
      </c>
      <c r="K158" s="185"/>
      <c r="L158" s="186"/>
      <c r="N158" s="222" t="s">
        <v>351</v>
      </c>
      <c r="O158" s="185"/>
      <c r="P158" s="186">
        <f>SUM(P161:P163)</f>
        <v>-1327999.8</v>
      </c>
    </row>
    <row r="159" spans="1:16" ht="15.75" thickBot="1" x14ac:dyDescent="0.3">
      <c r="D159" s="189"/>
      <c r="E159" s="24"/>
      <c r="F159" s="446" t="s">
        <v>350</v>
      </c>
      <c r="G159" s="447"/>
      <c r="H159" s="447"/>
      <c r="I159" s="447"/>
      <c r="J159" s="448"/>
      <c r="K159" s="24"/>
      <c r="L159" s="27"/>
      <c r="N159" s="189" t="s">
        <v>352</v>
      </c>
      <c r="O159" s="24"/>
      <c r="P159" s="27"/>
    </row>
    <row r="160" spans="1:16" ht="15.75" thickBot="1" x14ac:dyDescent="0.3">
      <c r="D160" s="189"/>
      <c r="E160" s="247"/>
      <c r="F160" s="248" t="s">
        <v>160</v>
      </c>
      <c r="G160" s="191"/>
      <c r="H160" s="191"/>
      <c r="I160" s="191"/>
      <c r="J160" s="192"/>
      <c r="K160" s="247"/>
      <c r="L160" s="27"/>
      <c r="N160" s="189"/>
      <c r="O160" s="24"/>
      <c r="P160" s="27"/>
    </row>
    <row r="161" spans="4:16" x14ac:dyDescent="0.25">
      <c r="D161" s="189"/>
      <c r="E161" s="249" t="s">
        <v>186</v>
      </c>
      <c r="F161" s="183" t="s">
        <v>95</v>
      </c>
      <c r="G161" s="183"/>
      <c r="H161" s="183"/>
      <c r="I161" s="183"/>
      <c r="J161" s="381">
        <v>3580000</v>
      </c>
      <c r="K161" s="249" t="s">
        <v>186</v>
      </c>
      <c r="L161" s="27"/>
      <c r="N161" s="382" t="s">
        <v>353</v>
      </c>
      <c r="O161" s="383"/>
      <c r="P161" s="384">
        <f>-J161*J158</f>
        <v>-1074000</v>
      </c>
    </row>
    <row r="162" spans="4:16" x14ac:dyDescent="0.25">
      <c r="D162" s="189"/>
      <c r="E162" s="249" t="s">
        <v>187</v>
      </c>
      <c r="F162" s="210" t="s">
        <v>161</v>
      </c>
      <c r="G162" s="210"/>
      <c r="H162" s="210"/>
      <c r="I162" s="210"/>
      <c r="J162" s="211">
        <f>+E117</f>
        <v>300000</v>
      </c>
      <c r="K162" s="249" t="s">
        <v>185</v>
      </c>
      <c r="L162" s="27"/>
      <c r="N162" s="382" t="s">
        <v>354</v>
      </c>
      <c r="O162" s="383"/>
      <c r="P162" s="384">
        <f>-(J162+J163)*J158</f>
        <v>-54000</v>
      </c>
    </row>
    <row r="163" spans="4:16" x14ac:dyDescent="0.25">
      <c r="D163" s="189"/>
      <c r="E163" s="249" t="s">
        <v>183</v>
      </c>
      <c r="F163" s="24" t="s">
        <v>162</v>
      </c>
      <c r="G163" s="24"/>
      <c r="H163" s="24"/>
      <c r="I163" s="24"/>
      <c r="J163" s="211">
        <f>+E118</f>
        <v>-120000</v>
      </c>
      <c r="K163" s="249" t="s">
        <v>183</v>
      </c>
      <c r="L163" s="27"/>
      <c r="N163" s="382" t="s">
        <v>355</v>
      </c>
      <c r="O163" s="383"/>
      <c r="P163" s="384">
        <f>-J164*J158</f>
        <v>-199999.8</v>
      </c>
    </row>
    <row r="164" spans="4:16" ht="15.75" thickBot="1" x14ac:dyDescent="0.3">
      <c r="D164" s="189"/>
      <c r="E164" s="249" t="s">
        <v>184</v>
      </c>
      <c r="F164" s="234" t="s">
        <v>178</v>
      </c>
      <c r="G164" s="234"/>
      <c r="H164" s="234"/>
      <c r="I164" s="234"/>
      <c r="J164" s="234">
        <v>666666</v>
      </c>
      <c r="K164" s="249" t="s">
        <v>184</v>
      </c>
      <c r="L164" s="27"/>
      <c r="N164" s="189" t="s">
        <v>356</v>
      </c>
      <c r="O164" s="24"/>
      <c r="P164" s="385">
        <f>+J174</f>
        <v>54000</v>
      </c>
    </row>
    <row r="165" spans="4:16" ht="15.75" thickBot="1" x14ac:dyDescent="0.3">
      <c r="D165" s="189"/>
      <c r="E165" s="250">
        <f>+K134</f>
        <v>180000</v>
      </c>
      <c r="F165" s="195" t="s">
        <v>78</v>
      </c>
      <c r="G165" s="196"/>
      <c r="H165" s="196"/>
      <c r="I165" s="196"/>
      <c r="J165" s="197">
        <f>SUM(J161:J164)</f>
        <v>4426666</v>
      </c>
      <c r="K165" s="250">
        <f>+E12</f>
        <v>360000</v>
      </c>
      <c r="L165" s="27"/>
      <c r="N165" s="224"/>
      <c r="O165" s="225"/>
      <c r="P165" s="255">
        <f>SUM(P161:P164)</f>
        <v>-1273999.8</v>
      </c>
    </row>
    <row r="166" spans="4:16" ht="15.75" thickBot="1" x14ac:dyDescent="0.3">
      <c r="D166" s="189"/>
      <c r="E166" s="24"/>
      <c r="F166" s="200" t="s">
        <v>159</v>
      </c>
      <c r="G166" s="201"/>
      <c r="H166" s="201"/>
      <c r="I166" s="201"/>
      <c r="J166" s="202">
        <f>-+J165*J158</f>
        <v>-1327999.8</v>
      </c>
      <c r="K166" s="24"/>
      <c r="L166" s="27"/>
    </row>
    <row r="167" spans="4:16" ht="15.75" thickBot="1" x14ac:dyDescent="0.3">
      <c r="D167" s="189"/>
      <c r="E167" s="250">
        <f>+E165*J158</f>
        <v>54000</v>
      </c>
      <c r="F167" s="24"/>
      <c r="G167" s="24"/>
      <c r="H167" s="24"/>
      <c r="I167" s="24"/>
      <c r="J167" s="24"/>
      <c r="K167" s="250">
        <f>+K165*J158</f>
        <v>108000</v>
      </c>
      <c r="L167" s="27"/>
    </row>
    <row r="168" spans="4:16" x14ac:dyDescent="0.25">
      <c r="D168" s="189"/>
      <c r="E168" s="223" t="s">
        <v>188</v>
      </c>
      <c r="F168" s="24"/>
      <c r="G168" s="24"/>
      <c r="H168" s="24"/>
      <c r="I168" s="24"/>
      <c r="J168" s="24"/>
      <c r="K168" s="223" t="s">
        <v>189</v>
      </c>
      <c r="L168" s="27"/>
    </row>
    <row r="169" spans="4:16" ht="15.75" thickBot="1" x14ac:dyDescent="0.3">
      <c r="D169" s="189"/>
      <c r="E169" s="24"/>
      <c r="F169" s="24"/>
      <c r="G169" s="24"/>
      <c r="H169" s="24"/>
      <c r="I169" s="24"/>
      <c r="J169" s="24"/>
      <c r="K169" s="24"/>
      <c r="L169" s="27"/>
    </row>
    <row r="170" spans="4:16" x14ac:dyDescent="0.25">
      <c r="D170" s="189"/>
      <c r="E170" s="24"/>
      <c r="F170" s="184" t="s">
        <v>180</v>
      </c>
      <c r="G170" s="251"/>
      <c r="H170" s="251"/>
      <c r="I170" s="251">
        <f>-J166</f>
        <v>1327999.8</v>
      </c>
      <c r="J170" s="252"/>
      <c r="K170" s="24"/>
      <c r="L170" s="27"/>
    </row>
    <row r="171" spans="4:16" ht="15.75" thickBot="1" x14ac:dyDescent="0.3">
      <c r="D171" s="189"/>
      <c r="E171" s="24"/>
      <c r="F171" s="253" t="s">
        <v>181</v>
      </c>
      <c r="G171" s="254"/>
      <c r="H171" s="254"/>
      <c r="I171" s="254"/>
      <c r="J171" s="255">
        <f>+I170</f>
        <v>1327999.8</v>
      </c>
      <c r="K171" s="24"/>
      <c r="L171" s="27"/>
    </row>
    <row r="172" spans="4:16" ht="15.75" thickBot="1" x14ac:dyDescent="0.3">
      <c r="D172" s="189"/>
      <c r="E172" s="24"/>
      <c r="F172" s="24"/>
      <c r="G172" s="24"/>
      <c r="H172" s="24"/>
      <c r="I172" s="24"/>
      <c r="J172" s="24"/>
      <c r="K172" s="24"/>
      <c r="L172" s="27"/>
    </row>
    <row r="173" spans="4:16" x14ac:dyDescent="0.25">
      <c r="D173" s="189"/>
      <c r="E173" s="24"/>
      <c r="F173" s="184" t="s">
        <v>72</v>
      </c>
      <c r="G173" s="185"/>
      <c r="H173" s="185"/>
      <c r="I173" s="251">
        <f>+K167-E167</f>
        <v>54000</v>
      </c>
      <c r="J173" s="252"/>
      <c r="K173" s="24"/>
      <c r="L173" s="27"/>
    </row>
    <row r="174" spans="4:16" ht="15.75" thickBot="1" x14ac:dyDescent="0.3">
      <c r="D174" s="189"/>
      <c r="E174" s="24"/>
      <c r="F174" s="253" t="s">
        <v>84</v>
      </c>
      <c r="G174" s="225"/>
      <c r="H174" s="225"/>
      <c r="I174" s="254"/>
      <c r="J174" s="255">
        <f>+I173</f>
        <v>54000</v>
      </c>
      <c r="K174" s="24"/>
      <c r="L174" s="27"/>
    </row>
    <row r="175" spans="4:16" ht="15.75" thickBot="1" x14ac:dyDescent="0.3">
      <c r="D175" s="224"/>
      <c r="E175" s="225"/>
      <c r="F175" s="225"/>
      <c r="G175" s="225"/>
      <c r="H175" s="225"/>
      <c r="I175" s="225"/>
      <c r="J175" s="225"/>
      <c r="K175" s="225"/>
      <c r="L175" s="246"/>
    </row>
    <row r="176" spans="4:16" ht="15.75" thickBot="1" x14ac:dyDescent="0.3"/>
    <row r="177" spans="4:12" x14ac:dyDescent="0.25">
      <c r="D177" s="256" t="s">
        <v>190</v>
      </c>
      <c r="E177" s="257"/>
      <c r="F177" s="257" t="s">
        <v>191</v>
      </c>
      <c r="G177" s="257"/>
      <c r="H177" s="257"/>
      <c r="I177" s="257"/>
      <c r="J177" s="257">
        <f>+K165-E165</f>
        <v>180000</v>
      </c>
      <c r="K177" s="257"/>
      <c r="L177" s="258"/>
    </row>
    <row r="178" spans="4:12" x14ac:dyDescent="0.25">
      <c r="D178" s="259"/>
      <c r="E178" s="260"/>
      <c r="F178" s="260" t="s">
        <v>192</v>
      </c>
      <c r="G178" s="260"/>
      <c r="H178" s="260"/>
      <c r="I178" s="260"/>
      <c r="J178" s="260">
        <f>+J162+J163</f>
        <v>180000</v>
      </c>
      <c r="K178" s="260"/>
      <c r="L178" s="261"/>
    </row>
    <row r="179" spans="4:12" x14ac:dyDescent="0.25">
      <c r="D179" s="259"/>
      <c r="E179" s="260"/>
      <c r="F179" s="262" t="s">
        <v>193</v>
      </c>
      <c r="G179" s="262"/>
      <c r="H179" s="262"/>
      <c r="I179" s="262"/>
      <c r="J179" s="262">
        <f>+J177-J178</f>
        <v>0</v>
      </c>
      <c r="K179" s="260"/>
      <c r="L179" s="261"/>
    </row>
    <row r="180" spans="4:12" x14ac:dyDescent="0.25">
      <c r="D180" s="259"/>
      <c r="E180" s="260"/>
      <c r="F180" s="260"/>
      <c r="G180" s="260"/>
      <c r="H180" s="260"/>
      <c r="I180" s="260"/>
      <c r="J180" s="260"/>
      <c r="K180" s="260"/>
      <c r="L180" s="261"/>
    </row>
    <row r="181" spans="4:12" x14ac:dyDescent="0.25">
      <c r="D181" s="263" t="s">
        <v>194</v>
      </c>
      <c r="E181" s="260"/>
      <c r="F181" s="260" t="s">
        <v>195</v>
      </c>
      <c r="G181" s="260"/>
      <c r="H181" s="260"/>
      <c r="I181" s="260"/>
      <c r="J181" s="260">
        <f>(J162+J163)*J158</f>
        <v>54000</v>
      </c>
      <c r="K181" s="260"/>
      <c r="L181" s="261"/>
    </row>
    <row r="182" spans="4:12" x14ac:dyDescent="0.25">
      <c r="D182" s="259"/>
      <c r="E182" s="260"/>
      <c r="F182" s="260" t="s">
        <v>196</v>
      </c>
      <c r="G182" s="260"/>
      <c r="H182" s="260"/>
      <c r="I182" s="260"/>
      <c r="J182" s="260">
        <f>+K167-E167</f>
        <v>54000</v>
      </c>
      <c r="K182" s="260"/>
      <c r="L182" s="261"/>
    </row>
    <row r="183" spans="4:12" x14ac:dyDescent="0.25">
      <c r="D183" s="259"/>
      <c r="E183" s="260"/>
      <c r="F183" s="262" t="s">
        <v>193</v>
      </c>
      <c r="G183" s="262"/>
      <c r="H183" s="262"/>
      <c r="I183" s="262"/>
      <c r="J183" s="262">
        <f>+J181-J182</f>
        <v>0</v>
      </c>
      <c r="K183" s="260"/>
      <c r="L183" s="261"/>
    </row>
    <row r="184" spans="4:12" x14ac:dyDescent="0.25">
      <c r="D184" s="259"/>
      <c r="E184" s="260"/>
      <c r="F184" s="260"/>
      <c r="G184" s="260"/>
      <c r="H184" s="260"/>
      <c r="I184" s="260"/>
      <c r="J184" s="260"/>
      <c r="K184" s="260"/>
      <c r="L184" s="261"/>
    </row>
    <row r="185" spans="4:12" x14ac:dyDescent="0.25">
      <c r="D185" s="263" t="s">
        <v>197</v>
      </c>
      <c r="E185" s="260"/>
      <c r="F185" s="260" t="s">
        <v>198</v>
      </c>
      <c r="G185" s="260"/>
      <c r="H185" s="260"/>
      <c r="I185" s="260"/>
      <c r="J185" s="260">
        <f>-I170+J174</f>
        <v>-1273999.8</v>
      </c>
      <c r="K185" s="260"/>
      <c r="L185" s="261"/>
    </row>
    <row r="186" spans="4:12" x14ac:dyDescent="0.25">
      <c r="D186" s="259"/>
      <c r="E186" s="260"/>
      <c r="F186" s="260" t="s">
        <v>199</v>
      </c>
      <c r="G186" s="260"/>
      <c r="H186" s="260"/>
      <c r="I186" s="260"/>
      <c r="J186" s="260">
        <f>-(J161+J164)*J158</f>
        <v>-1273999.8</v>
      </c>
      <c r="K186" s="260"/>
      <c r="L186" s="261"/>
    </row>
    <row r="187" spans="4:12" ht="15.75" thickBot="1" x14ac:dyDescent="0.3">
      <c r="D187" s="264"/>
      <c r="E187" s="265"/>
      <c r="F187" s="266" t="s">
        <v>193</v>
      </c>
      <c r="G187" s="266"/>
      <c r="H187" s="266"/>
      <c r="I187" s="266"/>
      <c r="J187" s="266">
        <f>+J185-J186</f>
        <v>0</v>
      </c>
      <c r="K187" s="265"/>
      <c r="L187" s="267"/>
    </row>
  </sheetData>
  <mergeCells count="2">
    <mergeCell ref="F128:J128"/>
    <mergeCell ref="F159:J15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130A-4BD9-402A-82D9-A2525E9A3CEE}">
  <dimension ref="A1:J63"/>
  <sheetViews>
    <sheetView topLeftCell="A29" zoomScale="130" zoomScaleNormal="130" workbookViewId="0">
      <selection activeCell="A41" sqref="A41"/>
    </sheetView>
  </sheetViews>
  <sheetFormatPr baseColWidth="10" defaultRowHeight="15" x14ac:dyDescent="0.25"/>
  <cols>
    <col min="3" max="4" width="11.7109375" customWidth="1"/>
  </cols>
  <sheetData>
    <row r="1" spans="1:10" ht="20.25" x14ac:dyDescent="0.3">
      <c r="A1" s="464" t="s">
        <v>510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5.75" thickBot="1" x14ac:dyDescent="0.3">
      <c r="A2" s="465" t="s">
        <v>511</v>
      </c>
      <c r="B2" s="18"/>
      <c r="C2" s="18"/>
      <c r="D2" s="18"/>
      <c r="E2" s="18"/>
      <c r="F2" s="18"/>
      <c r="G2" s="18"/>
      <c r="H2" s="18"/>
      <c r="I2" s="18"/>
      <c r="J2" s="19"/>
    </row>
    <row r="4" spans="1:10" x14ac:dyDescent="0.25">
      <c r="A4" s="452" t="s">
        <v>512</v>
      </c>
      <c r="B4" s="452" t="s">
        <v>514</v>
      </c>
      <c r="C4" s="452"/>
      <c r="D4" s="452"/>
      <c r="E4" s="452"/>
    </row>
    <row r="5" spans="1:10" x14ac:dyDescent="0.25">
      <c r="A5" s="452" t="s">
        <v>263</v>
      </c>
      <c r="B5" s="452" t="s">
        <v>515</v>
      </c>
      <c r="C5" s="452"/>
      <c r="D5" s="452"/>
      <c r="E5" s="452"/>
    </row>
    <row r="6" spans="1:10" x14ac:dyDescent="0.25">
      <c r="A6" s="452" t="s">
        <v>262</v>
      </c>
      <c r="B6" s="452" t="s">
        <v>513</v>
      </c>
      <c r="C6" s="452"/>
      <c r="D6" s="452"/>
      <c r="E6" s="452"/>
    </row>
    <row r="8" spans="1:10" x14ac:dyDescent="0.25">
      <c r="A8" s="455" t="s">
        <v>516</v>
      </c>
      <c r="B8" s="453"/>
      <c r="C8" s="453"/>
      <c r="D8" s="453"/>
      <c r="E8" s="453"/>
      <c r="F8" s="453"/>
      <c r="G8" s="453"/>
      <c r="H8" s="453"/>
      <c r="I8" s="453"/>
      <c r="J8" s="453"/>
    </row>
    <row r="9" spans="1:10" x14ac:dyDescent="0.25">
      <c r="A9" s="454" t="s">
        <v>517</v>
      </c>
    </row>
    <row r="10" spans="1:10" x14ac:dyDescent="0.25">
      <c r="A10" t="s">
        <v>518</v>
      </c>
      <c r="C10" t="s">
        <v>94</v>
      </c>
      <c r="D10" s="20">
        <v>10000000</v>
      </c>
    </row>
    <row r="11" spans="1:10" x14ac:dyDescent="0.25">
      <c r="A11" t="s">
        <v>519</v>
      </c>
      <c r="C11" t="s">
        <v>94</v>
      </c>
      <c r="D11" s="20">
        <v>7000000</v>
      </c>
    </row>
    <row r="12" spans="1:10" x14ac:dyDescent="0.25">
      <c r="A12" t="s">
        <v>520</v>
      </c>
      <c r="C12" t="s">
        <v>94</v>
      </c>
      <c r="D12" s="20">
        <f>+D10-D11</f>
        <v>3000000</v>
      </c>
    </row>
    <row r="14" spans="1:10" x14ac:dyDescent="0.25">
      <c r="A14" s="457"/>
      <c r="B14" s="457"/>
      <c r="C14" s="457"/>
      <c r="D14" s="132" t="s">
        <v>521</v>
      </c>
      <c r="E14" s="132" t="s">
        <v>522</v>
      </c>
      <c r="F14" s="132" t="s">
        <v>523</v>
      </c>
      <c r="G14" s="132" t="s">
        <v>524</v>
      </c>
      <c r="H14" s="456" t="s">
        <v>525</v>
      </c>
      <c r="I14" s="456" t="s">
        <v>526</v>
      </c>
    </row>
    <row r="15" spans="1:10" x14ac:dyDescent="0.25">
      <c r="A15" t="s">
        <v>527</v>
      </c>
      <c r="D15" s="20">
        <v>1000000</v>
      </c>
      <c r="E15" s="20">
        <v>1200000</v>
      </c>
      <c r="F15" s="20">
        <v>1300000</v>
      </c>
      <c r="G15" s="20">
        <v>1400000</v>
      </c>
      <c r="H15" s="20">
        <v>1500000</v>
      </c>
      <c r="I15" s="20">
        <v>600000</v>
      </c>
    </row>
    <row r="16" spans="1:10" x14ac:dyDescent="0.25">
      <c r="A16" t="s">
        <v>519</v>
      </c>
      <c r="D16" s="20">
        <f>+D11</f>
        <v>7000000</v>
      </c>
      <c r="E16" s="20">
        <f>+D16</f>
        <v>7000000</v>
      </c>
      <c r="F16" s="20">
        <f t="shared" ref="F16:I16" si="0">+E16</f>
        <v>7000000</v>
      </c>
      <c r="G16" s="20">
        <f t="shared" si="0"/>
        <v>7000000</v>
      </c>
      <c r="H16" s="20">
        <f t="shared" si="0"/>
        <v>7000000</v>
      </c>
      <c r="I16" s="20">
        <f t="shared" si="0"/>
        <v>7000000</v>
      </c>
    </row>
    <row r="17" spans="1:10" x14ac:dyDescent="0.25">
      <c r="A17" s="458" t="s">
        <v>528</v>
      </c>
      <c r="B17" s="458"/>
      <c r="C17" s="458"/>
      <c r="D17" s="459">
        <f>+D15/D16</f>
        <v>0.14285714285714285</v>
      </c>
      <c r="E17" s="459">
        <f t="shared" ref="E17:I17" si="1">+E15/E16</f>
        <v>0.17142857142857143</v>
      </c>
      <c r="F17" s="459">
        <f t="shared" si="1"/>
        <v>0.18571428571428572</v>
      </c>
      <c r="G17" s="459">
        <f t="shared" si="1"/>
        <v>0.2</v>
      </c>
      <c r="H17" s="459">
        <f t="shared" si="1"/>
        <v>0.21428571428571427</v>
      </c>
      <c r="I17" s="459">
        <f t="shared" si="1"/>
        <v>8.5714285714285715E-2</v>
      </c>
    </row>
    <row r="18" spans="1:10" x14ac:dyDescent="0.25">
      <c r="A18" t="s">
        <v>529</v>
      </c>
    </row>
    <row r="19" spans="1:10" ht="15.75" thickBot="1" x14ac:dyDescent="0.3"/>
    <row r="20" spans="1:10" ht="15.75" thickBot="1" x14ac:dyDescent="0.3">
      <c r="A20" s="12" t="s">
        <v>138</v>
      </c>
      <c r="B20" s="13"/>
      <c r="C20" s="13"/>
      <c r="D20" s="461">
        <f>+D17*$D$10</f>
        <v>1428571.4285714284</v>
      </c>
      <c r="E20" s="461">
        <f t="shared" ref="E20:J20" si="2">+E17*$D$10</f>
        <v>1714285.7142857143</v>
      </c>
      <c r="F20" s="461">
        <f t="shared" si="2"/>
        <v>1857142.8571428573</v>
      </c>
      <c r="G20" s="461">
        <f t="shared" si="2"/>
        <v>2000000</v>
      </c>
      <c r="H20" s="461">
        <f t="shared" si="2"/>
        <v>2142857.1428571427</v>
      </c>
      <c r="I20" s="462">
        <f t="shared" si="2"/>
        <v>857142.85714285716</v>
      </c>
      <c r="J20" s="460">
        <f>SUM(D20:I20)</f>
        <v>9999999.9999999981</v>
      </c>
    </row>
    <row r="21" spans="1:10" ht="15.75" thickBot="1" x14ac:dyDescent="0.3">
      <c r="A21" s="17" t="s">
        <v>530</v>
      </c>
      <c r="B21" s="18"/>
      <c r="C21" s="18"/>
      <c r="D21" s="101">
        <v>2000000</v>
      </c>
      <c r="E21" s="18"/>
      <c r="F21" s="18"/>
      <c r="G21" s="101">
        <v>4000000</v>
      </c>
      <c r="H21" s="18"/>
      <c r="I21" s="463">
        <v>4000000</v>
      </c>
      <c r="J21" s="460">
        <f>SUM(D21:I21)</f>
        <v>10000000</v>
      </c>
    </row>
    <row r="23" spans="1:10" x14ac:dyDescent="0.25">
      <c r="A23" s="455" t="s">
        <v>531</v>
      </c>
      <c r="B23" s="453"/>
      <c r="C23" s="453"/>
      <c r="D23" s="453"/>
      <c r="E23" s="453"/>
      <c r="F23" s="453"/>
      <c r="G23" s="453"/>
      <c r="H23" s="453"/>
      <c r="I23" s="453"/>
      <c r="J23" s="453"/>
    </row>
    <row r="24" spans="1:10" x14ac:dyDescent="0.25">
      <c r="C24" s="135" t="s">
        <v>37</v>
      </c>
      <c r="D24" s="135" t="s">
        <v>38</v>
      </c>
    </row>
    <row r="25" spans="1:10" x14ac:dyDescent="0.25">
      <c r="A25" t="s">
        <v>35</v>
      </c>
      <c r="C25" s="20">
        <v>1000000</v>
      </c>
      <c r="E25" s="4" t="s">
        <v>532</v>
      </c>
    </row>
    <row r="26" spans="1:10" x14ac:dyDescent="0.25">
      <c r="A26" t="s">
        <v>36</v>
      </c>
      <c r="D26" s="20">
        <f>+C25</f>
        <v>1000000</v>
      </c>
    </row>
    <row r="28" spans="1:10" x14ac:dyDescent="0.25">
      <c r="E28" t="s">
        <v>533</v>
      </c>
    </row>
    <row r="29" spans="1:10" x14ac:dyDescent="0.25">
      <c r="E29" t="s">
        <v>534</v>
      </c>
    </row>
    <row r="31" spans="1:10" x14ac:dyDescent="0.25">
      <c r="A31" s="455" t="s">
        <v>535</v>
      </c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0" x14ac:dyDescent="0.25">
      <c r="A32" s="4"/>
      <c r="B32" s="4"/>
      <c r="C32" s="135"/>
      <c r="D32" s="135"/>
      <c r="E32" s="4"/>
      <c r="F32" s="4"/>
    </row>
    <row r="33" spans="1:10" x14ac:dyDescent="0.25">
      <c r="A33" s="86" t="s">
        <v>536</v>
      </c>
      <c r="B33" s="86"/>
      <c r="C33" s="281">
        <v>100000</v>
      </c>
      <c r="D33" s="86"/>
      <c r="E33" s="4"/>
      <c r="F33" s="4" t="s">
        <v>544</v>
      </c>
      <c r="G33" s="20">
        <v>100000</v>
      </c>
    </row>
    <row r="34" spans="1:10" x14ac:dyDescent="0.25">
      <c r="A34" s="86" t="s">
        <v>29</v>
      </c>
      <c r="B34" s="86"/>
      <c r="C34" s="86">
        <v>24</v>
      </c>
      <c r="D34" s="281" t="s">
        <v>537</v>
      </c>
      <c r="E34" s="4"/>
      <c r="F34" s="4" t="s">
        <v>29</v>
      </c>
      <c r="G34">
        <v>24</v>
      </c>
    </row>
    <row r="35" spans="1:10" x14ac:dyDescent="0.25">
      <c r="A35" s="86" t="s">
        <v>538</v>
      </c>
      <c r="B35" s="86"/>
      <c r="C35" s="86"/>
      <c r="D35" s="86"/>
      <c r="E35" s="4"/>
      <c r="F35" s="4" t="s">
        <v>42</v>
      </c>
      <c r="G35" s="477">
        <v>0.05</v>
      </c>
      <c r="H35" t="s">
        <v>548</v>
      </c>
    </row>
    <row r="36" spans="1:10" x14ac:dyDescent="0.25">
      <c r="A36" s="86" t="s">
        <v>539</v>
      </c>
      <c r="B36" s="86"/>
      <c r="C36" s="466" t="s">
        <v>541</v>
      </c>
      <c r="D36" s="86"/>
      <c r="E36" s="4"/>
      <c r="F36" s="4" t="s">
        <v>43</v>
      </c>
      <c r="G36" s="20">
        <f>PV(G35,G34,-G33,0,0)</f>
        <v>1379864.1794346995</v>
      </c>
    </row>
    <row r="37" spans="1:10" ht="15.75" thickBot="1" x14ac:dyDescent="0.3">
      <c r="A37" s="86" t="s">
        <v>540</v>
      </c>
      <c r="B37" s="86"/>
      <c r="C37" s="466" t="s">
        <v>542</v>
      </c>
      <c r="D37" s="86"/>
      <c r="E37" s="4"/>
      <c r="F37" s="4"/>
    </row>
    <row r="38" spans="1:10" ht="15.75" thickBot="1" x14ac:dyDescent="0.3">
      <c r="F38" s="472"/>
      <c r="G38" s="473" t="s">
        <v>547</v>
      </c>
      <c r="H38" s="474"/>
      <c r="I38" s="474"/>
      <c r="J38" s="475"/>
    </row>
    <row r="39" spans="1:10" ht="15.75" thickBot="1" x14ac:dyDescent="0.3">
      <c r="A39" s="467"/>
      <c r="B39" s="467"/>
      <c r="C39" s="363" t="s">
        <v>37</v>
      </c>
      <c r="D39" s="363" t="s">
        <v>38</v>
      </c>
      <c r="G39" s="135" t="s">
        <v>46</v>
      </c>
      <c r="H39" s="469" t="s">
        <v>441</v>
      </c>
      <c r="I39" s="469" t="s">
        <v>545</v>
      </c>
      <c r="J39" s="135" t="s">
        <v>49</v>
      </c>
    </row>
    <row r="40" spans="1:10" ht="15.75" thickBot="1" x14ac:dyDescent="0.3">
      <c r="A40" s="291" t="s">
        <v>40</v>
      </c>
      <c r="B40" s="291"/>
      <c r="C40" s="291">
        <f>+G36</f>
        <v>1379864.1794346995</v>
      </c>
      <c r="D40" s="291"/>
      <c r="F40">
        <v>1</v>
      </c>
      <c r="G40" s="20">
        <f>+C40</f>
        <v>1379864.1794346995</v>
      </c>
      <c r="H40" s="468">
        <f>+G40*$G$35</f>
        <v>68993.208971734974</v>
      </c>
      <c r="I40" s="468">
        <f>-G33</f>
        <v>-100000</v>
      </c>
      <c r="J40" s="471">
        <f>+G40+H40+I40</f>
        <v>1348857.3884064346</v>
      </c>
    </row>
    <row r="41" spans="1:10" ht="15.75" thickBot="1" x14ac:dyDescent="0.3">
      <c r="A41" s="478" t="s">
        <v>543</v>
      </c>
      <c r="B41" s="478"/>
      <c r="C41" s="478"/>
      <c r="D41" s="478">
        <f>+C40</f>
        <v>1379864.1794346995</v>
      </c>
      <c r="F41">
        <f>+F40+1</f>
        <v>2</v>
      </c>
      <c r="G41" s="20">
        <f>+J40</f>
        <v>1348857.3884064346</v>
      </c>
      <c r="H41" s="468">
        <f>+G41*$G$35</f>
        <v>67442.869420321731</v>
      </c>
      <c r="I41" s="468">
        <f>+I40</f>
        <v>-100000</v>
      </c>
      <c r="J41" s="476">
        <f>+G41+H41+I41</f>
        <v>1316300.2578267562</v>
      </c>
    </row>
    <row r="42" spans="1:10" ht="15.75" thickBot="1" x14ac:dyDescent="0.3">
      <c r="F42">
        <f t="shared" ref="F42:F63" si="3">+F41+1</f>
        <v>3</v>
      </c>
      <c r="G42" s="20">
        <f>+J41</f>
        <v>1316300.2578267562</v>
      </c>
      <c r="H42" s="468">
        <f>+G42*$G$35</f>
        <v>65815.012891337814</v>
      </c>
      <c r="I42" s="468">
        <f>+I41</f>
        <v>-100000</v>
      </c>
      <c r="J42" s="20">
        <f>+G42+H42+I42</f>
        <v>1282115.270718094</v>
      </c>
    </row>
    <row r="43" spans="1:10" ht="15.75" thickBot="1" x14ac:dyDescent="0.3">
      <c r="A43" s="470" t="s">
        <v>40</v>
      </c>
      <c r="B43" s="206"/>
      <c r="C43" s="206">
        <f>+H40</f>
        <v>68993.208971734974</v>
      </c>
      <c r="D43" s="206"/>
      <c r="E43" s="471">
        <f>+C40+C43-D46</f>
        <v>1348857.3884064346</v>
      </c>
      <c r="F43">
        <f t="shared" si="3"/>
        <v>4</v>
      </c>
      <c r="G43" s="20">
        <f t="shared" ref="G43:G63" si="4">+J42</f>
        <v>1282115.270718094</v>
      </c>
      <c r="H43" s="468">
        <f t="shared" ref="H43:H63" si="5">+G43*$G$35</f>
        <v>64105.763535904698</v>
      </c>
      <c r="I43" s="468">
        <f t="shared" ref="I43:I63" si="6">+I42</f>
        <v>-100000</v>
      </c>
      <c r="J43" s="20">
        <f t="shared" ref="J43:J63" si="7">+G43+H43+I43</f>
        <v>1246221.0342539987</v>
      </c>
    </row>
    <row r="44" spans="1:10" x14ac:dyDescent="0.25">
      <c r="A44" s="470" t="s">
        <v>546</v>
      </c>
      <c r="B44" s="206"/>
      <c r="C44" s="206"/>
      <c r="D44" s="206">
        <f>+C43</f>
        <v>68993.208971734974</v>
      </c>
      <c r="F44">
        <f t="shared" si="3"/>
        <v>5</v>
      </c>
      <c r="G44" s="20">
        <f t="shared" si="4"/>
        <v>1246221.0342539987</v>
      </c>
      <c r="H44" s="468">
        <f t="shared" si="5"/>
        <v>62311.051712699933</v>
      </c>
      <c r="I44" s="468">
        <f t="shared" si="6"/>
        <v>-100000</v>
      </c>
      <c r="J44" s="20">
        <f t="shared" si="7"/>
        <v>1208532.0859666986</v>
      </c>
    </row>
    <row r="45" spans="1:10" x14ac:dyDescent="0.25">
      <c r="A45" s="470" t="s">
        <v>36</v>
      </c>
      <c r="B45" s="206"/>
      <c r="C45" s="206">
        <f>-I40</f>
        <v>100000</v>
      </c>
      <c r="D45" s="206"/>
      <c r="F45">
        <f t="shared" si="3"/>
        <v>6</v>
      </c>
      <c r="G45" s="20">
        <f t="shared" si="4"/>
        <v>1208532.0859666986</v>
      </c>
      <c r="H45" s="468">
        <f t="shared" si="5"/>
        <v>60426.604298334933</v>
      </c>
      <c r="I45" s="468">
        <f t="shared" si="6"/>
        <v>-100000</v>
      </c>
      <c r="J45" s="20">
        <f t="shared" si="7"/>
        <v>1168958.6902650336</v>
      </c>
    </row>
    <row r="46" spans="1:10" x14ac:dyDescent="0.25">
      <c r="A46" s="470" t="s">
        <v>40</v>
      </c>
      <c r="B46" s="206"/>
      <c r="C46" s="206"/>
      <c r="D46" s="206">
        <f>+C45</f>
        <v>100000</v>
      </c>
      <c r="F46">
        <f t="shared" si="3"/>
        <v>7</v>
      </c>
      <c r="G46" s="20">
        <f t="shared" si="4"/>
        <v>1168958.6902650336</v>
      </c>
      <c r="H46" s="468">
        <f t="shared" si="5"/>
        <v>58447.934513251683</v>
      </c>
      <c r="I46" s="468">
        <f t="shared" si="6"/>
        <v>-100000</v>
      </c>
      <c r="J46" s="20">
        <f t="shared" si="7"/>
        <v>1127406.6247782854</v>
      </c>
    </row>
    <row r="47" spans="1:10" ht="15.75" thickBot="1" x14ac:dyDescent="0.3">
      <c r="F47">
        <f t="shared" si="3"/>
        <v>8</v>
      </c>
      <c r="G47" s="20">
        <f t="shared" si="4"/>
        <v>1127406.6247782854</v>
      </c>
      <c r="H47" s="468">
        <f t="shared" si="5"/>
        <v>56370.331238914274</v>
      </c>
      <c r="I47" s="468">
        <f t="shared" si="6"/>
        <v>-100000</v>
      </c>
      <c r="J47" s="20">
        <f t="shared" si="7"/>
        <v>1083776.9560171997</v>
      </c>
    </row>
    <row r="48" spans="1:10" ht="15.75" thickBot="1" x14ac:dyDescent="0.3">
      <c r="A48" s="470" t="s">
        <v>40</v>
      </c>
      <c r="B48" s="206"/>
      <c r="C48" s="206">
        <f>+H41</f>
        <v>67442.869420321731</v>
      </c>
      <c r="D48" s="206"/>
      <c r="E48" s="476">
        <f>+E43+C48-D51</f>
        <v>1316300.2578267562</v>
      </c>
      <c r="F48">
        <f t="shared" si="3"/>
        <v>9</v>
      </c>
      <c r="G48" s="20">
        <f t="shared" si="4"/>
        <v>1083776.9560171997</v>
      </c>
      <c r="H48" s="468">
        <f t="shared" si="5"/>
        <v>54188.847800859985</v>
      </c>
      <c r="I48" s="468">
        <f t="shared" si="6"/>
        <v>-100000</v>
      </c>
      <c r="J48" s="20">
        <f t="shared" si="7"/>
        <v>1037965.8038180596</v>
      </c>
    </row>
    <row r="49" spans="1:10" x14ac:dyDescent="0.25">
      <c r="A49" s="470" t="s">
        <v>546</v>
      </c>
      <c r="B49" s="206"/>
      <c r="C49" s="206"/>
      <c r="D49" s="206">
        <f>+C48</f>
        <v>67442.869420321731</v>
      </c>
      <c r="F49">
        <f t="shared" si="3"/>
        <v>10</v>
      </c>
      <c r="G49" s="20">
        <f t="shared" si="4"/>
        <v>1037965.8038180596</v>
      </c>
      <c r="H49" s="468">
        <f t="shared" si="5"/>
        <v>51898.290190902982</v>
      </c>
      <c r="I49" s="468">
        <f t="shared" si="6"/>
        <v>-100000</v>
      </c>
      <c r="J49" s="20">
        <f t="shared" si="7"/>
        <v>989864.09400896262</v>
      </c>
    </row>
    <row r="50" spans="1:10" x14ac:dyDescent="0.25">
      <c r="A50" s="470" t="s">
        <v>36</v>
      </c>
      <c r="B50" s="206"/>
      <c r="C50" s="206">
        <f>-I41</f>
        <v>100000</v>
      </c>
      <c r="D50" s="206"/>
      <c r="F50">
        <f t="shared" si="3"/>
        <v>11</v>
      </c>
      <c r="G50" s="20">
        <f t="shared" si="4"/>
        <v>989864.09400896262</v>
      </c>
      <c r="H50" s="468">
        <f t="shared" si="5"/>
        <v>49493.204700448136</v>
      </c>
      <c r="I50" s="468">
        <f t="shared" si="6"/>
        <v>-100000</v>
      </c>
      <c r="J50" s="20">
        <f t="shared" si="7"/>
        <v>939357.29870941071</v>
      </c>
    </row>
    <row r="51" spans="1:10" x14ac:dyDescent="0.25">
      <c r="A51" s="470" t="s">
        <v>40</v>
      </c>
      <c r="B51" s="206"/>
      <c r="C51" s="206"/>
      <c r="D51" s="206">
        <f>+C50</f>
        <v>100000</v>
      </c>
      <c r="F51">
        <f t="shared" si="3"/>
        <v>12</v>
      </c>
      <c r="G51" s="20">
        <f t="shared" si="4"/>
        <v>939357.29870941071</v>
      </c>
      <c r="H51" s="468">
        <f t="shared" si="5"/>
        <v>46967.864935470541</v>
      </c>
      <c r="I51" s="468">
        <f t="shared" si="6"/>
        <v>-100000</v>
      </c>
      <c r="J51" s="20">
        <f t="shared" si="7"/>
        <v>886325.16364488122</v>
      </c>
    </row>
    <row r="52" spans="1:10" x14ac:dyDescent="0.25">
      <c r="F52">
        <f t="shared" si="3"/>
        <v>13</v>
      </c>
      <c r="G52" s="20">
        <f t="shared" si="4"/>
        <v>886325.16364488122</v>
      </c>
      <c r="H52" s="468">
        <f t="shared" si="5"/>
        <v>44316.258182244062</v>
      </c>
      <c r="I52" s="468">
        <f t="shared" si="6"/>
        <v>-100000</v>
      </c>
      <c r="J52" s="20">
        <f t="shared" si="7"/>
        <v>830641.42182712525</v>
      </c>
    </row>
    <row r="53" spans="1:10" x14ac:dyDescent="0.25">
      <c r="F53">
        <f t="shared" si="3"/>
        <v>14</v>
      </c>
      <c r="G53" s="20">
        <f t="shared" si="4"/>
        <v>830641.42182712525</v>
      </c>
      <c r="H53" s="468">
        <f t="shared" si="5"/>
        <v>41532.071091356265</v>
      </c>
      <c r="I53" s="468">
        <f t="shared" si="6"/>
        <v>-100000</v>
      </c>
      <c r="J53" s="20">
        <f t="shared" si="7"/>
        <v>772173.49291848147</v>
      </c>
    </row>
    <row r="54" spans="1:10" x14ac:dyDescent="0.25">
      <c r="F54">
        <f t="shared" si="3"/>
        <v>15</v>
      </c>
      <c r="G54" s="20">
        <f t="shared" si="4"/>
        <v>772173.49291848147</v>
      </c>
      <c r="H54" s="468">
        <f t="shared" si="5"/>
        <v>38608.674645924075</v>
      </c>
      <c r="I54" s="468">
        <f t="shared" si="6"/>
        <v>-100000</v>
      </c>
      <c r="J54" s="20">
        <f t="shared" si="7"/>
        <v>710782.16756440559</v>
      </c>
    </row>
    <row r="55" spans="1:10" x14ac:dyDescent="0.25">
      <c r="F55">
        <f t="shared" si="3"/>
        <v>16</v>
      </c>
      <c r="G55" s="20">
        <f t="shared" si="4"/>
        <v>710782.16756440559</v>
      </c>
      <c r="H55" s="468">
        <f t="shared" si="5"/>
        <v>35539.108378220284</v>
      </c>
      <c r="I55" s="468">
        <f t="shared" si="6"/>
        <v>-100000</v>
      </c>
      <c r="J55" s="20">
        <f t="shared" si="7"/>
        <v>646321.27594262583</v>
      </c>
    </row>
    <row r="56" spans="1:10" x14ac:dyDescent="0.25">
      <c r="F56">
        <f t="shared" si="3"/>
        <v>17</v>
      </c>
      <c r="G56" s="20">
        <f t="shared" si="4"/>
        <v>646321.27594262583</v>
      </c>
      <c r="H56" s="468">
        <f t="shared" si="5"/>
        <v>32316.063797131294</v>
      </c>
      <c r="I56" s="468">
        <f t="shared" si="6"/>
        <v>-100000</v>
      </c>
      <c r="J56" s="20">
        <f t="shared" si="7"/>
        <v>578637.33973975712</v>
      </c>
    </row>
    <row r="57" spans="1:10" x14ac:dyDescent="0.25">
      <c r="F57">
        <f t="shared" si="3"/>
        <v>18</v>
      </c>
      <c r="G57" s="20">
        <f t="shared" si="4"/>
        <v>578637.33973975712</v>
      </c>
      <c r="H57" s="468">
        <f t="shared" si="5"/>
        <v>28931.866986987858</v>
      </c>
      <c r="I57" s="468">
        <f t="shared" si="6"/>
        <v>-100000</v>
      </c>
      <c r="J57" s="20">
        <f t="shared" si="7"/>
        <v>507569.206726745</v>
      </c>
    </row>
    <row r="58" spans="1:10" x14ac:dyDescent="0.25">
      <c r="F58">
        <f t="shared" si="3"/>
        <v>19</v>
      </c>
      <c r="G58" s="20">
        <f t="shared" si="4"/>
        <v>507569.206726745</v>
      </c>
      <c r="H58" s="468">
        <f t="shared" si="5"/>
        <v>25378.460336337252</v>
      </c>
      <c r="I58" s="468">
        <f t="shared" si="6"/>
        <v>-100000</v>
      </c>
      <c r="J58" s="20">
        <f t="shared" si="7"/>
        <v>432947.66706308222</v>
      </c>
    </row>
    <row r="59" spans="1:10" x14ac:dyDescent="0.25">
      <c r="F59">
        <f t="shared" si="3"/>
        <v>20</v>
      </c>
      <c r="G59" s="20">
        <f t="shared" si="4"/>
        <v>432947.66706308222</v>
      </c>
      <c r="H59" s="468">
        <f t="shared" si="5"/>
        <v>21647.383353154113</v>
      </c>
      <c r="I59" s="468">
        <f t="shared" si="6"/>
        <v>-100000</v>
      </c>
      <c r="J59" s="20">
        <f t="shared" si="7"/>
        <v>354595.05041623634</v>
      </c>
    </row>
    <row r="60" spans="1:10" x14ac:dyDescent="0.25">
      <c r="F60">
        <f t="shared" si="3"/>
        <v>21</v>
      </c>
      <c r="G60" s="20">
        <f t="shared" si="4"/>
        <v>354595.05041623634</v>
      </c>
      <c r="H60" s="468">
        <f t="shared" si="5"/>
        <v>17729.752520811817</v>
      </c>
      <c r="I60" s="468">
        <f t="shared" si="6"/>
        <v>-100000</v>
      </c>
      <c r="J60" s="20">
        <f t="shared" si="7"/>
        <v>272324.80293704814</v>
      </c>
    </row>
    <row r="61" spans="1:10" x14ac:dyDescent="0.25">
      <c r="F61">
        <f t="shared" si="3"/>
        <v>22</v>
      </c>
      <c r="G61" s="20">
        <f t="shared" si="4"/>
        <v>272324.80293704814</v>
      </c>
      <c r="H61" s="468">
        <f t="shared" si="5"/>
        <v>13616.240146852408</v>
      </c>
      <c r="I61" s="468">
        <f t="shared" si="6"/>
        <v>-100000</v>
      </c>
      <c r="J61" s="20">
        <f t="shared" si="7"/>
        <v>185941.04308390053</v>
      </c>
    </row>
    <row r="62" spans="1:10" x14ac:dyDescent="0.25">
      <c r="F62">
        <f t="shared" si="3"/>
        <v>23</v>
      </c>
      <c r="G62" s="20">
        <f t="shared" si="4"/>
        <v>185941.04308390053</v>
      </c>
      <c r="H62" s="468">
        <f t="shared" si="5"/>
        <v>9297.0521541950275</v>
      </c>
      <c r="I62" s="468">
        <f t="shared" si="6"/>
        <v>-100000</v>
      </c>
      <c r="J62" s="20">
        <f t="shared" si="7"/>
        <v>95238.095238095557</v>
      </c>
    </row>
    <row r="63" spans="1:10" x14ac:dyDescent="0.25">
      <c r="F63">
        <f t="shared" si="3"/>
        <v>24</v>
      </c>
      <c r="G63" s="20">
        <f t="shared" si="4"/>
        <v>95238.095238095557</v>
      </c>
      <c r="H63" s="468">
        <f t="shared" si="5"/>
        <v>4761.9047619047778</v>
      </c>
      <c r="I63" s="468">
        <f t="shared" si="6"/>
        <v>-100000</v>
      </c>
      <c r="J63" s="468">
        <f t="shared" si="7"/>
        <v>3.3469405025243759E-10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D050-91EC-443B-B9EB-F18E02DCC427}">
  <sheetPr>
    <tabColor theme="1"/>
  </sheetPr>
  <dimension ref="A1:K44"/>
  <sheetViews>
    <sheetView topLeftCell="A4" zoomScale="160" zoomScaleNormal="160" workbookViewId="0">
      <selection activeCell="A14" sqref="A14"/>
    </sheetView>
  </sheetViews>
  <sheetFormatPr baseColWidth="10" defaultRowHeight="17.25" x14ac:dyDescent="0.3"/>
  <cols>
    <col min="1" max="1" width="12.5703125" style="389" bestFit="1" customWidth="1"/>
    <col min="2" max="2" width="13.85546875" style="389" customWidth="1"/>
    <col min="3" max="5" width="11.42578125" style="389"/>
    <col min="6" max="6" width="13.7109375" style="389" customWidth="1"/>
    <col min="7" max="10" width="11.42578125" style="389"/>
    <col min="11" max="11" width="10.5703125" style="389" customWidth="1"/>
    <col min="12" max="16384" width="11.42578125" style="389"/>
  </cols>
  <sheetData>
    <row r="1" spans="1:11" customFormat="1" ht="24" thickBot="1" x14ac:dyDescent="0.4">
      <c r="A1" s="389"/>
      <c r="B1" s="480" t="s">
        <v>357</v>
      </c>
      <c r="C1" s="481" t="s">
        <v>0</v>
      </c>
      <c r="D1" s="482"/>
      <c r="E1" s="482"/>
      <c r="F1" s="482"/>
      <c r="G1" s="482"/>
      <c r="H1" s="482"/>
      <c r="I1" s="482"/>
      <c r="J1" s="482"/>
      <c r="K1" s="483"/>
    </row>
    <row r="2" spans="1:11" s="391" customFormat="1" ht="23.25" x14ac:dyDescent="0.35">
      <c r="B2" s="386" t="s">
        <v>358</v>
      </c>
    </row>
    <row r="3" spans="1:11" ht="8.25" customHeight="1" x14ac:dyDescent="0.3"/>
    <row r="4" spans="1:11" s="390" customFormat="1" ht="18.75" x14ac:dyDescent="0.3">
      <c r="B4" s="398" t="s">
        <v>359</v>
      </c>
      <c r="C4" s="399"/>
      <c r="D4" s="399"/>
      <c r="E4" s="399"/>
      <c r="F4" s="399"/>
      <c r="G4" s="399"/>
      <c r="H4" s="399"/>
      <c r="I4" s="399"/>
      <c r="J4" s="399"/>
      <c r="K4" s="400"/>
    </row>
    <row r="5" spans="1:11" ht="18.75" x14ac:dyDescent="0.3">
      <c r="B5" s="392"/>
      <c r="C5" s="393" t="s">
        <v>360</v>
      </c>
      <c r="D5" s="394"/>
      <c r="E5" s="394"/>
      <c r="F5" s="394"/>
      <c r="G5" s="394"/>
      <c r="H5" s="394"/>
      <c r="I5" s="394"/>
      <c r="J5" s="394"/>
      <c r="K5" s="395"/>
    </row>
    <row r="6" spans="1:11" ht="18.75" x14ac:dyDescent="0.3">
      <c r="B6" s="392"/>
      <c r="C6" s="393" t="s">
        <v>361</v>
      </c>
      <c r="D6" s="394"/>
      <c r="E6" s="394"/>
      <c r="F6" s="394"/>
      <c r="G6" s="394"/>
      <c r="H6" s="394"/>
      <c r="I6" s="394"/>
      <c r="J6" s="394"/>
      <c r="K6" s="395"/>
    </row>
    <row r="7" spans="1:11" ht="18.75" x14ac:dyDescent="0.3">
      <c r="B7" s="392"/>
      <c r="C7" s="393" t="s">
        <v>362</v>
      </c>
      <c r="D7" s="394"/>
      <c r="E7" s="394"/>
      <c r="F7" s="394"/>
      <c r="G7" s="394"/>
      <c r="H7" s="394"/>
      <c r="I7" s="394"/>
      <c r="J7" s="394"/>
      <c r="K7" s="395"/>
    </row>
    <row r="8" spans="1:11" ht="18.75" x14ac:dyDescent="0.3">
      <c r="B8" s="392"/>
      <c r="C8" s="393" t="s">
        <v>363</v>
      </c>
      <c r="D8" s="394"/>
      <c r="E8" s="394"/>
      <c r="F8" s="394"/>
      <c r="G8" s="394"/>
      <c r="H8" s="394"/>
      <c r="I8" s="394"/>
      <c r="J8" s="394"/>
      <c r="K8" s="395"/>
    </row>
    <row r="9" spans="1:11" ht="18.75" x14ac:dyDescent="0.3">
      <c r="B9" s="392"/>
      <c r="C9" s="393" t="s">
        <v>364</v>
      </c>
      <c r="D9" s="394"/>
      <c r="E9" s="394"/>
      <c r="F9" s="394"/>
      <c r="G9" s="394"/>
      <c r="H9" s="394"/>
      <c r="I9" s="394"/>
      <c r="J9" s="394"/>
      <c r="K9" s="395"/>
    </row>
    <row r="10" spans="1:11" ht="18.75" x14ac:dyDescent="0.3">
      <c r="B10" s="392"/>
      <c r="C10" s="393" t="s">
        <v>365</v>
      </c>
      <c r="D10" s="394"/>
      <c r="E10" s="394"/>
      <c r="F10" s="394"/>
      <c r="G10" s="394"/>
      <c r="H10" s="394"/>
      <c r="I10" s="394"/>
      <c r="J10" s="394"/>
      <c r="K10" s="395"/>
    </row>
    <row r="11" spans="1:11" ht="18.75" x14ac:dyDescent="0.3">
      <c r="B11" s="392"/>
      <c r="C11" s="393" t="s">
        <v>366</v>
      </c>
      <c r="D11" s="394"/>
      <c r="E11" s="394"/>
      <c r="F11" s="394"/>
      <c r="G11" s="394"/>
      <c r="H11" s="394"/>
      <c r="I11" s="394"/>
      <c r="J11" s="394"/>
      <c r="K11" s="395"/>
    </row>
    <row r="12" spans="1:11" ht="18.75" x14ac:dyDescent="0.3">
      <c r="B12" s="403" t="s">
        <v>367</v>
      </c>
      <c r="C12" s="396"/>
      <c r="D12" s="396"/>
      <c r="E12" s="396"/>
      <c r="F12" s="396"/>
      <c r="G12" s="396"/>
      <c r="H12" s="396"/>
      <c r="I12" s="396"/>
      <c r="J12" s="396"/>
      <c r="K12" s="397"/>
    </row>
    <row r="13" spans="1:11" ht="9" customHeight="1" x14ac:dyDescent="0.3"/>
    <row r="20" spans="2:11" s="390" customFormat="1" ht="18.75" x14ac:dyDescent="0.3">
      <c r="B20" s="398" t="s">
        <v>368</v>
      </c>
      <c r="C20" s="399"/>
      <c r="D20" s="399"/>
      <c r="E20" s="399"/>
      <c r="F20" s="399"/>
      <c r="G20" s="399"/>
      <c r="H20" s="399"/>
      <c r="I20" s="399"/>
      <c r="J20" s="399"/>
      <c r="K20" s="400"/>
    </row>
    <row r="21" spans="2:11" ht="18.75" x14ac:dyDescent="0.3">
      <c r="B21" s="392" t="s">
        <v>374</v>
      </c>
      <c r="C21" s="393"/>
      <c r="D21" s="394"/>
      <c r="E21" s="394"/>
      <c r="F21" s="394"/>
      <c r="G21" s="394"/>
      <c r="H21" s="394"/>
      <c r="I21" s="394"/>
      <c r="J21" s="394"/>
      <c r="K21" s="395"/>
    </row>
    <row r="22" spans="2:11" ht="18.75" x14ac:dyDescent="0.3">
      <c r="B22" s="401" t="s">
        <v>369</v>
      </c>
      <c r="C22" s="393"/>
      <c r="D22" s="394"/>
      <c r="E22" s="394"/>
      <c r="F22" s="394"/>
      <c r="G22" s="394"/>
      <c r="H22" s="394"/>
      <c r="I22" s="394"/>
      <c r="J22" s="394"/>
      <c r="K22" s="395"/>
    </row>
    <row r="23" spans="2:11" ht="18.75" x14ac:dyDescent="0.3">
      <c r="B23" s="401" t="s">
        <v>370</v>
      </c>
      <c r="C23" s="393"/>
      <c r="D23" s="394"/>
      <c r="E23" s="394"/>
      <c r="F23" s="394"/>
      <c r="G23" s="394"/>
      <c r="H23" s="394"/>
      <c r="I23" s="394"/>
      <c r="J23" s="394"/>
      <c r="K23" s="395"/>
    </row>
    <row r="24" spans="2:11" ht="18.75" x14ac:dyDescent="0.3">
      <c r="B24" s="401" t="s">
        <v>371</v>
      </c>
      <c r="C24" s="393"/>
      <c r="D24" s="394"/>
      <c r="E24" s="394"/>
      <c r="F24" s="394"/>
      <c r="G24" s="394"/>
      <c r="H24" s="394"/>
      <c r="I24" s="394"/>
      <c r="J24" s="394"/>
      <c r="K24" s="395"/>
    </row>
    <row r="25" spans="2:11" ht="18.75" x14ac:dyDescent="0.3">
      <c r="B25" s="401" t="s">
        <v>372</v>
      </c>
      <c r="C25" s="393"/>
      <c r="D25" s="394"/>
      <c r="E25" s="394"/>
      <c r="F25" s="394"/>
      <c r="G25" s="394"/>
      <c r="H25" s="394"/>
      <c r="I25" s="394"/>
      <c r="J25" s="394"/>
      <c r="K25" s="395"/>
    </row>
    <row r="26" spans="2:11" ht="18.75" x14ac:dyDescent="0.3">
      <c r="B26" s="402" t="s">
        <v>373</v>
      </c>
      <c r="C26" s="393"/>
      <c r="D26" s="394"/>
      <c r="E26" s="394"/>
      <c r="F26" s="394"/>
      <c r="G26" s="394"/>
      <c r="H26" s="394"/>
      <c r="I26" s="394"/>
      <c r="J26" s="394"/>
      <c r="K26" s="395"/>
    </row>
    <row r="27" spans="2:11" ht="18.75" x14ac:dyDescent="0.3">
      <c r="B27" s="404" t="s">
        <v>375</v>
      </c>
      <c r="C27" s="396"/>
      <c r="D27" s="396"/>
      <c r="E27" s="396"/>
      <c r="F27" s="396"/>
      <c r="G27" s="396"/>
      <c r="H27" s="396"/>
      <c r="I27" s="396"/>
      <c r="J27" s="396"/>
      <c r="K27" s="397"/>
    </row>
    <row r="29" spans="2:11" s="390" customFormat="1" ht="18.75" x14ac:dyDescent="0.3">
      <c r="B29" s="398" t="s">
        <v>389</v>
      </c>
      <c r="C29" s="399"/>
      <c r="D29" s="399"/>
      <c r="E29" s="399"/>
      <c r="F29" s="399"/>
      <c r="G29" s="399"/>
      <c r="H29" s="399"/>
      <c r="I29" s="399"/>
      <c r="J29" s="399"/>
      <c r="K29" s="400"/>
    </row>
    <row r="30" spans="2:11" s="390" customFormat="1" ht="18.75" x14ac:dyDescent="0.3">
      <c r="B30" s="392" t="s">
        <v>385</v>
      </c>
      <c r="C30" s="406"/>
      <c r="D30" s="406"/>
      <c r="E30" s="406"/>
      <c r="F30" s="406"/>
      <c r="G30" s="406"/>
      <c r="H30" s="406"/>
      <c r="I30" s="406"/>
      <c r="J30" s="406"/>
      <c r="K30" s="407"/>
    </row>
    <row r="31" spans="2:11" s="390" customFormat="1" ht="18.75" x14ac:dyDescent="0.3">
      <c r="B31" s="392"/>
      <c r="C31" s="479" t="s">
        <v>386</v>
      </c>
      <c r="D31" s="406"/>
      <c r="E31" s="406"/>
      <c r="F31" s="406"/>
      <c r="G31" s="406"/>
      <c r="H31" s="406"/>
      <c r="I31" s="406"/>
      <c r="J31" s="406"/>
      <c r="K31" s="407"/>
    </row>
    <row r="32" spans="2:11" s="390" customFormat="1" ht="18.75" x14ac:dyDescent="0.3">
      <c r="B32" s="405"/>
      <c r="C32" s="479" t="s">
        <v>387</v>
      </c>
      <c r="D32" s="406"/>
      <c r="E32" s="406"/>
      <c r="F32" s="406"/>
      <c r="G32" s="406"/>
      <c r="H32" s="406"/>
      <c r="I32" s="406"/>
      <c r="J32" s="406"/>
      <c r="K32" s="407"/>
    </row>
    <row r="33" spans="2:11" s="390" customFormat="1" ht="18.75" x14ac:dyDescent="0.3">
      <c r="B33" s="405"/>
      <c r="C33" s="479" t="s">
        <v>388</v>
      </c>
      <c r="D33" s="406"/>
      <c r="E33" s="406"/>
      <c r="F33" s="406"/>
      <c r="G33" s="406"/>
      <c r="H33" s="406"/>
      <c r="I33" s="406"/>
      <c r="J33" s="406"/>
      <c r="K33" s="407"/>
    </row>
    <row r="34" spans="2:11" ht="18.75" x14ac:dyDescent="0.3">
      <c r="B34" s="392" t="s">
        <v>377</v>
      </c>
      <c r="C34" s="394" t="s">
        <v>376</v>
      </c>
      <c r="D34" s="394"/>
      <c r="E34" s="394"/>
      <c r="F34" s="394"/>
      <c r="G34" s="394"/>
      <c r="H34" s="394"/>
      <c r="I34" s="394"/>
      <c r="J34" s="394"/>
      <c r="K34" s="395"/>
    </row>
    <row r="35" spans="2:11" ht="18.75" x14ac:dyDescent="0.3">
      <c r="B35" s="392" t="s">
        <v>378</v>
      </c>
      <c r="C35" s="394" t="s">
        <v>380</v>
      </c>
      <c r="D35" s="394"/>
      <c r="E35" s="394"/>
      <c r="F35" s="394"/>
      <c r="G35" s="394"/>
      <c r="H35" s="394"/>
      <c r="I35" s="394"/>
      <c r="J35" s="394"/>
      <c r="K35" s="395"/>
    </row>
    <row r="36" spans="2:11" ht="18.75" x14ac:dyDescent="0.3">
      <c r="B36" s="401"/>
      <c r="C36" s="394" t="s">
        <v>549</v>
      </c>
      <c r="D36" s="394"/>
      <c r="E36" s="394"/>
      <c r="F36" s="394"/>
      <c r="G36" s="394"/>
      <c r="H36" s="394"/>
      <c r="I36" s="394"/>
      <c r="J36" s="394"/>
      <c r="K36" s="395"/>
    </row>
    <row r="37" spans="2:11" ht="18.75" x14ac:dyDescent="0.3">
      <c r="B37" s="401"/>
      <c r="C37" s="394" t="s">
        <v>379</v>
      </c>
      <c r="D37" s="394"/>
      <c r="E37" s="394"/>
      <c r="F37" s="394"/>
      <c r="G37" s="394"/>
      <c r="H37" s="394"/>
      <c r="I37" s="394"/>
      <c r="J37" s="394"/>
      <c r="K37" s="395"/>
    </row>
    <row r="38" spans="2:11" ht="18.75" x14ac:dyDescent="0.3">
      <c r="B38" s="401"/>
      <c r="C38" s="394" t="s">
        <v>390</v>
      </c>
      <c r="D38" s="394"/>
      <c r="E38" s="394"/>
      <c r="F38" s="394"/>
      <c r="G38" s="394"/>
      <c r="H38" s="394"/>
      <c r="I38" s="394"/>
      <c r="J38" s="394"/>
      <c r="K38" s="395"/>
    </row>
    <row r="39" spans="2:11" ht="18.75" x14ac:dyDescent="0.3">
      <c r="B39" s="401"/>
      <c r="C39" s="394" t="s">
        <v>381</v>
      </c>
      <c r="D39" s="394"/>
      <c r="E39" s="394"/>
      <c r="F39" s="394"/>
      <c r="G39" s="394"/>
      <c r="H39" s="394"/>
      <c r="I39" s="394"/>
      <c r="J39" s="394"/>
      <c r="K39" s="395"/>
    </row>
    <row r="40" spans="2:11" ht="18.75" x14ac:dyDescent="0.3">
      <c r="B40" s="401"/>
      <c r="C40" s="394" t="s">
        <v>392</v>
      </c>
      <c r="D40" s="394"/>
      <c r="E40" s="394"/>
      <c r="F40" s="394"/>
      <c r="G40" s="394"/>
      <c r="H40" s="394"/>
      <c r="I40" s="394"/>
      <c r="J40" s="394"/>
      <c r="K40" s="395"/>
    </row>
    <row r="41" spans="2:11" ht="18.75" x14ac:dyDescent="0.3">
      <c r="B41" s="402" t="s">
        <v>382</v>
      </c>
      <c r="C41" s="393"/>
      <c r="D41" s="394"/>
      <c r="E41" s="394"/>
      <c r="F41" s="394"/>
      <c r="G41" s="394"/>
      <c r="H41" s="394"/>
      <c r="I41" s="394"/>
      <c r="J41" s="394"/>
      <c r="K41" s="395"/>
    </row>
    <row r="42" spans="2:11" ht="18.75" x14ac:dyDescent="0.3">
      <c r="B42" s="402"/>
      <c r="C42" s="394" t="s">
        <v>383</v>
      </c>
      <c r="D42" s="394"/>
      <c r="E42" s="394"/>
      <c r="F42" s="394"/>
      <c r="G42" s="394"/>
      <c r="H42" s="394"/>
      <c r="I42" s="394"/>
      <c r="J42" s="394"/>
      <c r="K42" s="395"/>
    </row>
    <row r="43" spans="2:11" ht="18.75" x14ac:dyDescent="0.3">
      <c r="B43" s="402"/>
      <c r="C43" s="394" t="s">
        <v>391</v>
      </c>
      <c r="D43" s="394"/>
      <c r="E43" s="394"/>
      <c r="F43" s="394"/>
      <c r="G43" s="394"/>
      <c r="H43" s="394"/>
      <c r="I43" s="394"/>
      <c r="J43" s="394"/>
      <c r="K43" s="395"/>
    </row>
    <row r="44" spans="2:11" ht="18.75" x14ac:dyDescent="0.3">
      <c r="B44" s="404"/>
      <c r="C44" s="396" t="s">
        <v>384</v>
      </c>
      <c r="D44" s="396"/>
      <c r="E44" s="396"/>
      <c r="F44" s="396"/>
      <c r="G44" s="396"/>
      <c r="H44" s="396"/>
      <c r="I44" s="396"/>
      <c r="J44" s="396"/>
      <c r="K44" s="39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7D78-D719-49F3-A2D7-1CFC3D4921A5}">
  <sheetPr>
    <tabColor theme="1"/>
  </sheetPr>
  <dimension ref="A1:K21"/>
  <sheetViews>
    <sheetView zoomScale="130" zoomScaleNormal="130" workbookViewId="0">
      <selection activeCell="D16" sqref="D16"/>
    </sheetView>
  </sheetViews>
  <sheetFormatPr baseColWidth="10" defaultRowHeight="17.25" x14ac:dyDescent="0.3"/>
  <cols>
    <col min="1" max="1" width="12.5703125" style="389" bestFit="1" customWidth="1"/>
    <col min="2" max="2" width="13.85546875" style="389" customWidth="1"/>
    <col min="3" max="5" width="11.42578125" style="389"/>
    <col min="6" max="6" width="13.7109375" style="389" customWidth="1"/>
    <col min="7" max="10" width="11.42578125" style="389"/>
    <col min="11" max="11" width="10.5703125" style="389" customWidth="1"/>
    <col min="12" max="16384" width="11.42578125" style="389"/>
  </cols>
  <sheetData>
    <row r="1" spans="1:11" customFormat="1" ht="23.25" x14ac:dyDescent="0.35">
      <c r="A1" s="389"/>
      <c r="B1" s="387" t="s">
        <v>357</v>
      </c>
      <c r="C1" s="388" t="s">
        <v>0</v>
      </c>
      <c r="D1" s="268"/>
      <c r="E1" s="268"/>
      <c r="F1" s="268"/>
      <c r="G1" s="268"/>
      <c r="H1" s="268"/>
      <c r="I1" s="268"/>
      <c r="J1" s="268"/>
      <c r="K1" s="268"/>
    </row>
    <row r="2" spans="1:11" s="391" customFormat="1" ht="23.25" x14ac:dyDescent="0.35">
      <c r="B2" s="386" t="s">
        <v>393</v>
      </c>
    </row>
    <row r="4" spans="1:11" s="390" customFormat="1" ht="18.75" x14ac:dyDescent="0.3">
      <c r="B4" s="398" t="s">
        <v>394</v>
      </c>
      <c r="C4" s="399"/>
      <c r="D4" s="399"/>
      <c r="E4" s="399"/>
      <c r="F4" s="399"/>
      <c r="G4" s="399"/>
      <c r="H4" s="399"/>
      <c r="I4" s="399"/>
      <c r="J4" s="399"/>
      <c r="K4" s="400"/>
    </row>
    <row r="5" spans="1:11" ht="18.75" x14ac:dyDescent="0.3">
      <c r="B5" s="484" t="s">
        <v>395</v>
      </c>
      <c r="C5" s="485"/>
      <c r="D5" s="443"/>
      <c r="E5" s="443"/>
      <c r="F5" s="443"/>
      <c r="G5" s="443"/>
      <c r="H5" s="443"/>
      <c r="I5" s="443"/>
      <c r="J5" s="443"/>
      <c r="K5" s="486"/>
    </row>
    <row r="6" spans="1:11" ht="18.75" x14ac:dyDescent="0.3">
      <c r="B6" s="484" t="s">
        <v>396</v>
      </c>
      <c r="C6" s="485"/>
      <c r="D6" s="443"/>
      <c r="E6" s="443"/>
      <c r="F6" s="443"/>
      <c r="G6" s="443"/>
      <c r="H6" s="443"/>
      <c r="I6" s="443"/>
      <c r="J6" s="443"/>
      <c r="K6" s="486"/>
    </row>
    <row r="7" spans="1:11" ht="18.75" x14ac:dyDescent="0.3">
      <c r="B7" s="484" t="s">
        <v>397</v>
      </c>
      <c r="C7" s="485"/>
      <c r="D7" s="443"/>
      <c r="E7" s="443"/>
      <c r="F7" s="443"/>
      <c r="G7" s="443"/>
      <c r="H7" s="443"/>
      <c r="I7" s="443"/>
      <c r="J7" s="443"/>
      <c r="K7" s="486"/>
    </row>
    <row r="8" spans="1:11" ht="18.75" x14ac:dyDescent="0.3">
      <c r="B8" s="405" t="s">
        <v>398</v>
      </c>
      <c r="C8" s="393"/>
      <c r="D8" s="394"/>
      <c r="E8" s="394"/>
      <c r="F8" s="394"/>
      <c r="G8" s="394"/>
      <c r="H8" s="394"/>
      <c r="I8" s="394"/>
      <c r="J8" s="394"/>
      <c r="K8" s="395"/>
    </row>
    <row r="9" spans="1:11" ht="18.75" x14ac:dyDescent="0.3">
      <c r="B9" s="484" t="s">
        <v>399</v>
      </c>
      <c r="C9" s="485"/>
      <c r="D9" s="443"/>
      <c r="E9" s="443"/>
      <c r="F9" s="443"/>
      <c r="G9" s="443"/>
      <c r="H9" s="443"/>
      <c r="I9" s="443"/>
      <c r="J9" s="443"/>
      <c r="K9" s="486"/>
    </row>
    <row r="10" spans="1:11" ht="18.75" x14ac:dyDescent="0.3">
      <c r="B10" s="405" t="s">
        <v>400</v>
      </c>
      <c r="C10" s="393"/>
      <c r="D10" s="394"/>
      <c r="E10" s="394"/>
      <c r="F10" s="394"/>
      <c r="G10" s="394"/>
      <c r="H10" s="394"/>
      <c r="I10" s="394"/>
      <c r="J10" s="394"/>
      <c r="K10" s="395"/>
    </row>
    <row r="11" spans="1:11" ht="18.75" x14ac:dyDescent="0.3">
      <c r="B11" s="484" t="s">
        <v>401</v>
      </c>
      <c r="C11" s="485"/>
      <c r="D11" s="443"/>
      <c r="E11" s="443"/>
      <c r="F11" s="443"/>
      <c r="G11" s="443"/>
      <c r="H11" s="443"/>
      <c r="I11" s="443"/>
      <c r="J11" s="443"/>
      <c r="K11" s="486"/>
    </row>
    <row r="12" spans="1:11" ht="18.75" x14ac:dyDescent="0.3">
      <c r="B12" s="487" t="s">
        <v>402</v>
      </c>
      <c r="C12" s="488"/>
      <c r="D12" s="489"/>
      <c r="E12" s="489"/>
      <c r="F12" s="489"/>
      <c r="G12" s="489"/>
      <c r="H12" s="489"/>
      <c r="I12" s="489"/>
      <c r="J12" s="489"/>
      <c r="K12" s="490"/>
    </row>
    <row r="14" spans="1:11" s="390" customFormat="1" ht="18.75" x14ac:dyDescent="0.3">
      <c r="B14" s="398" t="s">
        <v>403</v>
      </c>
      <c r="C14" s="399"/>
      <c r="D14" s="399"/>
      <c r="E14" s="399"/>
      <c r="F14" s="399"/>
      <c r="G14" s="399"/>
      <c r="H14" s="399"/>
      <c r="I14" s="399"/>
      <c r="J14" s="399"/>
      <c r="K14" s="400"/>
    </row>
    <row r="15" spans="1:11" ht="18.75" x14ac:dyDescent="0.3">
      <c r="B15" s="484" t="s">
        <v>404</v>
      </c>
      <c r="C15" s="485"/>
      <c r="D15" s="443"/>
      <c r="E15" s="443"/>
      <c r="F15" s="443"/>
      <c r="G15" s="443"/>
      <c r="H15" s="443"/>
      <c r="I15" s="443"/>
      <c r="J15" s="443"/>
      <c r="K15" s="486"/>
    </row>
    <row r="16" spans="1:11" ht="18.75" x14ac:dyDescent="0.3">
      <c r="B16" s="484" t="s">
        <v>405</v>
      </c>
      <c r="C16" s="485"/>
      <c r="D16" s="443"/>
      <c r="E16" s="443"/>
      <c r="F16" s="443"/>
      <c r="G16" s="443"/>
      <c r="H16" s="443"/>
      <c r="I16" s="443"/>
      <c r="J16" s="443"/>
      <c r="K16" s="486"/>
    </row>
    <row r="17" spans="2:11" ht="18.75" x14ac:dyDescent="0.3">
      <c r="B17" s="484" t="s">
        <v>550</v>
      </c>
      <c r="C17" s="485"/>
      <c r="D17" s="443"/>
      <c r="E17" s="443"/>
      <c r="F17" s="443"/>
      <c r="G17" s="443"/>
      <c r="H17" s="443"/>
      <c r="I17" s="443"/>
      <c r="J17" s="443"/>
      <c r="K17" s="486"/>
    </row>
    <row r="18" spans="2:11" ht="18.75" x14ac:dyDescent="0.3">
      <c r="B18" s="484" t="s">
        <v>406</v>
      </c>
      <c r="C18" s="485"/>
      <c r="D18" s="443"/>
      <c r="E18" s="443"/>
      <c r="F18" s="443"/>
      <c r="G18" s="443"/>
      <c r="H18" s="443"/>
      <c r="I18" s="443"/>
      <c r="J18" s="443"/>
      <c r="K18" s="486"/>
    </row>
    <row r="19" spans="2:11" ht="18.75" x14ac:dyDescent="0.3">
      <c r="B19" s="484" t="s">
        <v>407</v>
      </c>
      <c r="C19" s="485"/>
      <c r="D19" s="443"/>
      <c r="E19" s="443"/>
      <c r="F19" s="443"/>
      <c r="G19" s="443"/>
      <c r="H19" s="443"/>
      <c r="I19" s="443"/>
      <c r="J19" s="443"/>
      <c r="K19" s="486"/>
    </row>
    <row r="20" spans="2:11" ht="18.75" x14ac:dyDescent="0.3">
      <c r="B20" s="484" t="s">
        <v>408</v>
      </c>
      <c r="C20" s="485"/>
      <c r="D20" s="443"/>
      <c r="E20" s="443"/>
      <c r="F20" s="443"/>
      <c r="G20" s="443"/>
      <c r="H20" s="443"/>
      <c r="I20" s="443"/>
      <c r="J20" s="443"/>
      <c r="K20" s="486"/>
    </row>
    <row r="21" spans="2:11" ht="18.75" x14ac:dyDescent="0.3">
      <c r="B21" s="487" t="s">
        <v>409</v>
      </c>
      <c r="C21" s="489"/>
      <c r="D21" s="489"/>
      <c r="E21" s="489"/>
      <c r="F21" s="489"/>
      <c r="G21" s="489"/>
      <c r="H21" s="489"/>
      <c r="I21" s="489"/>
      <c r="J21" s="489"/>
      <c r="K21" s="49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215A-00CA-4938-A90C-D2C82A426833}">
  <sheetPr>
    <tabColor theme="1"/>
  </sheetPr>
  <dimension ref="A1:U401"/>
  <sheetViews>
    <sheetView topLeftCell="A270" zoomScale="160" zoomScaleNormal="160" workbookViewId="0">
      <selection activeCell="H276" sqref="H276"/>
    </sheetView>
  </sheetViews>
  <sheetFormatPr baseColWidth="10" defaultRowHeight="17.25" x14ac:dyDescent="0.3"/>
  <cols>
    <col min="1" max="1" width="5.42578125" style="389" customWidth="1"/>
    <col min="2" max="2" width="13.85546875" style="389" customWidth="1"/>
    <col min="3" max="4" width="15" style="389" bestFit="1" customWidth="1"/>
    <col min="5" max="5" width="15.85546875" style="389" bestFit="1" customWidth="1"/>
    <col min="6" max="14" width="15.28515625" style="389" bestFit="1" customWidth="1"/>
    <col min="15" max="15" width="16.7109375" style="389" customWidth="1"/>
    <col min="16" max="17" width="11.42578125" style="389"/>
    <col min="18" max="18" width="12.7109375" style="389" bestFit="1" customWidth="1"/>
    <col min="19" max="19" width="11.42578125" style="389"/>
    <col min="20" max="20" width="12.140625" style="389" bestFit="1" customWidth="1"/>
    <col min="21" max="21" width="12.7109375" style="389" bestFit="1" customWidth="1"/>
    <col min="22" max="16384" width="11.42578125" style="389"/>
  </cols>
  <sheetData>
    <row r="1" spans="1:15" customFormat="1" ht="23.25" x14ac:dyDescent="0.35">
      <c r="A1" s="389"/>
      <c r="B1" s="387" t="s">
        <v>357</v>
      </c>
      <c r="C1" s="388" t="s">
        <v>0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s="391" customFormat="1" ht="23.25" x14ac:dyDescent="0.35">
      <c r="B2" s="386" t="s">
        <v>410</v>
      </c>
    </row>
    <row r="4" spans="1:15" s="390" customFormat="1" ht="18.75" x14ac:dyDescent="0.3">
      <c r="B4" s="416" t="s">
        <v>411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8"/>
    </row>
    <row r="5" spans="1:15" ht="18.75" x14ac:dyDescent="0.3">
      <c r="B5" s="405" t="s">
        <v>412</v>
      </c>
      <c r="C5" s="393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5"/>
    </row>
    <row r="6" spans="1:15" ht="18.75" x14ac:dyDescent="0.3">
      <c r="B6" s="405" t="s">
        <v>413</v>
      </c>
      <c r="C6" s="393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5"/>
    </row>
    <row r="7" spans="1:15" ht="18.75" x14ac:dyDescent="0.3">
      <c r="B7" s="405" t="s">
        <v>414</v>
      </c>
      <c r="C7" s="393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5"/>
    </row>
    <row r="8" spans="1:15" ht="18.75" x14ac:dyDescent="0.3">
      <c r="B8" s="392"/>
      <c r="C8" s="393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5"/>
    </row>
    <row r="9" spans="1:15" ht="18.75" x14ac:dyDescent="0.3">
      <c r="B9" s="412" t="s">
        <v>415</v>
      </c>
      <c r="C9" s="413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5"/>
    </row>
    <row r="10" spans="1:15" ht="18.75" x14ac:dyDescent="0.3">
      <c r="B10" s="405" t="s">
        <v>420</v>
      </c>
      <c r="C10" s="393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5"/>
    </row>
    <row r="11" spans="1:15" ht="18.75" x14ac:dyDescent="0.3">
      <c r="B11" s="405" t="s">
        <v>421</v>
      </c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5"/>
    </row>
    <row r="12" spans="1:15" ht="18.75" x14ac:dyDescent="0.3">
      <c r="B12" s="405" t="s">
        <v>422</v>
      </c>
      <c r="C12" s="393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5"/>
    </row>
    <row r="13" spans="1:15" ht="18.75" x14ac:dyDescent="0.3">
      <c r="B13" s="405" t="s">
        <v>423</v>
      </c>
      <c r="C13" s="393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5"/>
    </row>
    <row r="14" spans="1:15" ht="18.75" x14ac:dyDescent="0.3">
      <c r="B14" s="405" t="s">
        <v>424</v>
      </c>
      <c r="C14" s="393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5"/>
    </row>
    <row r="15" spans="1:15" ht="18.75" x14ac:dyDescent="0.3">
      <c r="B15" s="392"/>
      <c r="C15" s="393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5"/>
    </row>
    <row r="16" spans="1:15" ht="18.75" x14ac:dyDescent="0.3">
      <c r="B16" s="405" t="s">
        <v>416</v>
      </c>
      <c r="C16" s="393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5"/>
    </row>
    <row r="17" spans="2:15" ht="18.75" x14ac:dyDescent="0.3">
      <c r="B17" s="405"/>
      <c r="C17" s="393"/>
      <c r="D17" s="394"/>
      <c r="E17" s="394"/>
      <c r="F17" s="411" t="s">
        <v>37</v>
      </c>
      <c r="G17" s="411" t="s">
        <v>38</v>
      </c>
      <c r="H17" s="394"/>
      <c r="I17" s="394"/>
      <c r="J17" s="394"/>
      <c r="K17" s="394"/>
      <c r="L17" s="394"/>
      <c r="M17" s="394"/>
      <c r="N17" s="394"/>
      <c r="O17" s="395"/>
    </row>
    <row r="18" spans="2:15" ht="18.75" x14ac:dyDescent="0.3">
      <c r="B18" s="392"/>
      <c r="C18" s="493" t="s">
        <v>35</v>
      </c>
      <c r="D18" s="493"/>
      <c r="E18" s="493"/>
      <c r="F18" s="494">
        <v>50000000</v>
      </c>
      <c r="G18" s="493"/>
      <c r="H18" s="393" t="s">
        <v>551</v>
      </c>
      <c r="I18" s="394"/>
      <c r="J18" s="394"/>
      <c r="K18" s="394"/>
      <c r="L18" s="394"/>
      <c r="M18" s="394"/>
      <c r="N18" s="394"/>
      <c r="O18" s="395"/>
    </row>
    <row r="19" spans="2:15" ht="18.75" x14ac:dyDescent="0.3">
      <c r="B19" s="392"/>
      <c r="C19" s="493" t="s">
        <v>36</v>
      </c>
      <c r="D19" s="493"/>
      <c r="E19" s="493"/>
      <c r="F19" s="493"/>
      <c r="G19" s="494">
        <f>+F18</f>
        <v>50000000</v>
      </c>
      <c r="H19" s="394"/>
      <c r="I19" s="394"/>
      <c r="J19" s="394"/>
      <c r="K19" s="394"/>
      <c r="L19" s="394"/>
      <c r="M19" s="394"/>
      <c r="N19" s="394"/>
      <c r="O19" s="395"/>
    </row>
    <row r="20" spans="2:15" ht="18.75" x14ac:dyDescent="0.3">
      <c r="B20" s="392"/>
      <c r="C20" s="393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5"/>
    </row>
    <row r="21" spans="2:15" s="390" customFormat="1" ht="18.75" x14ac:dyDescent="0.3">
      <c r="B21" s="405"/>
      <c r="C21" s="406" t="s">
        <v>417</v>
      </c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7"/>
    </row>
    <row r="22" spans="2:15" s="390" customFormat="1" ht="18.75" x14ac:dyDescent="0.3">
      <c r="B22" s="405"/>
      <c r="C22" s="406" t="s">
        <v>418</v>
      </c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7" t="s">
        <v>425</v>
      </c>
    </row>
    <row r="23" spans="2:15" s="390" customFormat="1" ht="18.75" x14ac:dyDescent="0.3">
      <c r="B23" s="403"/>
      <c r="C23" s="495" t="s">
        <v>419</v>
      </c>
      <c r="D23" s="495"/>
      <c r="E23" s="495"/>
      <c r="F23" s="495"/>
      <c r="G23" s="495"/>
      <c r="H23" s="495"/>
      <c r="I23" s="495"/>
      <c r="J23" s="495"/>
      <c r="K23" s="495"/>
      <c r="L23" s="495"/>
      <c r="M23" s="495"/>
      <c r="N23" s="495"/>
      <c r="O23" s="496"/>
    </row>
    <row r="25" spans="2:15" s="390" customFormat="1" ht="18.75" x14ac:dyDescent="0.3">
      <c r="B25" s="416" t="s">
        <v>426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8"/>
    </row>
    <row r="26" spans="2:15" ht="18.75" x14ac:dyDescent="0.3">
      <c r="B26" s="392" t="s">
        <v>427</v>
      </c>
      <c r="C26" s="393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5"/>
    </row>
    <row r="27" spans="2:15" ht="18.75" x14ac:dyDescent="0.3">
      <c r="B27" s="392" t="s">
        <v>428</v>
      </c>
      <c r="C27" s="393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5"/>
    </row>
    <row r="28" spans="2:15" ht="18.75" x14ac:dyDescent="0.3">
      <c r="B28" s="392"/>
      <c r="C28" s="393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5"/>
    </row>
    <row r="29" spans="2:15" ht="18.75" x14ac:dyDescent="0.3">
      <c r="B29" s="412" t="s">
        <v>429</v>
      </c>
      <c r="C29" s="413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5"/>
    </row>
    <row r="30" spans="2:15" ht="18.75" x14ac:dyDescent="0.3">
      <c r="B30" s="392" t="s">
        <v>552</v>
      </c>
      <c r="C30" s="393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5"/>
    </row>
    <row r="31" spans="2:15" ht="18.75" x14ac:dyDescent="0.3">
      <c r="B31" s="392" t="s">
        <v>430</v>
      </c>
      <c r="C31" s="393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5"/>
    </row>
    <row r="32" spans="2:15" ht="18.75" x14ac:dyDescent="0.3">
      <c r="B32" s="392" t="s">
        <v>431</v>
      </c>
      <c r="C32" s="393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5"/>
    </row>
    <row r="33" spans="2:15" ht="18.75" x14ac:dyDescent="0.3">
      <c r="B33" s="392" t="s">
        <v>432</v>
      </c>
      <c r="C33" s="393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5"/>
    </row>
    <row r="34" spans="2:15" ht="18.75" x14ac:dyDescent="0.3">
      <c r="B34" s="392" t="s">
        <v>433</v>
      </c>
      <c r="C34" s="393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5"/>
    </row>
    <row r="35" spans="2:15" ht="18.75" x14ac:dyDescent="0.3">
      <c r="B35" s="392" t="s">
        <v>449</v>
      </c>
      <c r="C35" s="393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5"/>
    </row>
    <row r="36" spans="2:15" ht="18.75" x14ac:dyDescent="0.3">
      <c r="B36" s="392"/>
      <c r="C36" s="393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5"/>
    </row>
    <row r="37" spans="2:15" ht="18.75" x14ac:dyDescent="0.3">
      <c r="B37" s="405" t="s">
        <v>434</v>
      </c>
      <c r="C37" s="393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5"/>
    </row>
    <row r="38" spans="2:15" ht="18.75" x14ac:dyDescent="0.3">
      <c r="B38" s="491" t="s">
        <v>435</v>
      </c>
      <c r="C38" s="517"/>
      <c r="D38" s="518"/>
      <c r="E38" s="518"/>
      <c r="F38" s="519">
        <v>50000000</v>
      </c>
      <c r="G38" s="394"/>
      <c r="H38" s="394"/>
      <c r="I38" s="394"/>
      <c r="J38" s="394"/>
      <c r="K38" s="394"/>
      <c r="L38" s="394"/>
      <c r="M38" s="394"/>
      <c r="N38" s="394"/>
      <c r="O38" s="395"/>
    </row>
    <row r="39" spans="2:15" ht="18.75" x14ac:dyDescent="0.3">
      <c r="B39" s="497" t="s">
        <v>29</v>
      </c>
      <c r="C39" s="493"/>
      <c r="D39" s="493"/>
      <c r="E39" s="493"/>
      <c r="F39" s="493">
        <v>10</v>
      </c>
      <c r="G39" s="394"/>
      <c r="H39" s="394"/>
      <c r="I39" s="394"/>
      <c r="J39" s="394"/>
      <c r="K39" s="394"/>
      <c r="L39" s="394"/>
      <c r="M39" s="394"/>
      <c r="N39" s="394"/>
      <c r="O39" s="395"/>
    </row>
    <row r="40" spans="2:15" ht="18.75" x14ac:dyDescent="0.3">
      <c r="B40" s="497" t="s">
        <v>42</v>
      </c>
      <c r="C40" s="493"/>
      <c r="D40" s="493"/>
      <c r="E40" s="493"/>
      <c r="F40" s="499">
        <v>0.12</v>
      </c>
      <c r="G40" s="394"/>
      <c r="H40" s="394"/>
      <c r="I40" s="394"/>
      <c r="J40" s="394"/>
      <c r="K40" s="394"/>
      <c r="L40" s="394"/>
      <c r="M40" s="394"/>
      <c r="N40" s="394"/>
      <c r="O40" s="395"/>
    </row>
    <row r="41" spans="2:15" ht="18.75" x14ac:dyDescent="0.3">
      <c r="B41" s="497" t="s">
        <v>41</v>
      </c>
      <c r="C41" s="492"/>
      <c r="D41" s="493"/>
      <c r="E41" s="493"/>
      <c r="F41" s="498">
        <f>-PMT(F40,F39,F38,0,0)</f>
        <v>8849208.2079922054</v>
      </c>
      <c r="G41" s="394"/>
      <c r="H41" s="394"/>
      <c r="I41" s="394"/>
      <c r="J41" s="394"/>
      <c r="K41" s="394"/>
      <c r="L41" s="394"/>
      <c r="M41" s="394"/>
      <c r="N41" s="394"/>
      <c r="O41" s="395"/>
    </row>
    <row r="42" spans="2:15" ht="18.75" x14ac:dyDescent="0.3">
      <c r="B42" s="497" t="s">
        <v>439</v>
      </c>
      <c r="C42" s="492"/>
      <c r="D42" s="493"/>
      <c r="E42" s="493"/>
      <c r="F42" s="499">
        <v>0.08</v>
      </c>
      <c r="G42" s="394"/>
      <c r="H42" s="394"/>
      <c r="I42" s="394"/>
      <c r="J42" s="394"/>
      <c r="K42" s="394"/>
      <c r="L42" s="394"/>
      <c r="M42" s="394"/>
      <c r="N42" s="394"/>
      <c r="O42" s="395"/>
    </row>
    <row r="43" spans="2:15" ht="18.75" x14ac:dyDescent="0.3">
      <c r="B43" s="497" t="s">
        <v>440</v>
      </c>
      <c r="C43" s="492"/>
      <c r="D43" s="493"/>
      <c r="E43" s="493"/>
      <c r="F43" s="523">
        <v>0.15</v>
      </c>
      <c r="G43" s="394"/>
      <c r="H43" s="394"/>
      <c r="I43" s="394"/>
      <c r="J43" s="394"/>
      <c r="K43" s="394"/>
      <c r="L43" s="394"/>
      <c r="M43" s="394"/>
      <c r="N43" s="394"/>
      <c r="O43" s="395"/>
    </row>
    <row r="44" spans="2:15" ht="18.75" x14ac:dyDescent="0.3">
      <c r="B44" s="392"/>
      <c r="C44" s="394"/>
      <c r="D44" s="394"/>
      <c r="E44" s="410" t="s">
        <v>138</v>
      </c>
      <c r="F44" s="394"/>
      <c r="G44" s="394"/>
      <c r="H44" s="394"/>
      <c r="I44" s="394"/>
      <c r="J44" s="394"/>
      <c r="K44" s="394"/>
      <c r="L44" s="394"/>
      <c r="M44" s="394"/>
      <c r="N44" s="394"/>
      <c r="O44" s="395"/>
    </row>
    <row r="45" spans="2:15" ht="18.75" x14ac:dyDescent="0.3">
      <c r="B45" s="392" t="s">
        <v>437</v>
      </c>
      <c r="C45" s="410" t="s">
        <v>51</v>
      </c>
      <c r="D45" s="410" t="s">
        <v>438</v>
      </c>
      <c r="E45" s="410" t="s">
        <v>553</v>
      </c>
      <c r="F45" s="394"/>
      <c r="G45" s="406" t="s">
        <v>554</v>
      </c>
      <c r="H45" s="394"/>
      <c r="I45" s="394"/>
      <c r="J45" s="394"/>
      <c r="K45" s="394"/>
      <c r="L45" s="394"/>
      <c r="M45" s="394"/>
      <c r="N45" s="394"/>
      <c r="O45" s="407"/>
    </row>
    <row r="46" spans="2:15" ht="18.75" x14ac:dyDescent="0.3">
      <c r="B46" s="392" t="s">
        <v>436</v>
      </c>
      <c r="C46" s="409">
        <f>-F38</f>
        <v>-50000000</v>
      </c>
      <c r="D46" s="394"/>
      <c r="E46" s="409">
        <f>-C46*(1+F43)</f>
        <v>57499999.999999993</v>
      </c>
      <c r="F46" s="394"/>
      <c r="G46" s="421" t="s">
        <v>46</v>
      </c>
      <c r="H46" s="421" t="s">
        <v>441</v>
      </c>
      <c r="I46" s="421" t="s">
        <v>266</v>
      </c>
      <c r="J46" s="421" t="s">
        <v>49</v>
      </c>
      <c r="K46" s="394"/>
      <c r="L46" s="394"/>
      <c r="M46" s="394"/>
      <c r="N46" s="394"/>
      <c r="O46" s="407"/>
    </row>
    <row r="47" spans="2:15" ht="18.75" x14ac:dyDescent="0.3">
      <c r="B47" s="392" t="s">
        <v>57</v>
      </c>
      <c r="C47" s="394"/>
      <c r="D47" s="409">
        <f>+F41</f>
        <v>8849208.2079922054</v>
      </c>
      <c r="E47" s="409"/>
      <c r="F47" s="394">
        <v>1</v>
      </c>
      <c r="G47" s="505">
        <f>NPV(F42,D47:D56)</f>
        <v>59378907.391808428</v>
      </c>
      <c r="H47" s="505">
        <f>+G47*$F$42</f>
        <v>4750312.5913446741</v>
      </c>
      <c r="I47" s="409">
        <f>-D47</f>
        <v>-8849208.2079922054</v>
      </c>
      <c r="J47" s="409">
        <f>+G47+H47+I47</f>
        <v>55280011.775160901</v>
      </c>
      <c r="K47" s="409"/>
      <c r="L47" s="506" t="s">
        <v>40</v>
      </c>
      <c r="M47" s="505"/>
      <c r="N47" s="505"/>
      <c r="O47" s="516">
        <f>+D69+D72</f>
        <v>59378907.391808428</v>
      </c>
    </row>
    <row r="48" spans="2:15" ht="18.75" x14ac:dyDescent="0.3">
      <c r="B48" s="392" t="s">
        <v>58</v>
      </c>
      <c r="C48" s="394"/>
      <c r="D48" s="409">
        <f>+D47</f>
        <v>8849208.2079922054</v>
      </c>
      <c r="E48" s="394"/>
      <c r="F48" s="394">
        <f>+F47+1</f>
        <v>2</v>
      </c>
      <c r="G48" s="409">
        <f>+J47</f>
        <v>55280011.775160901</v>
      </c>
      <c r="H48" s="505">
        <f>+G48*$F$42</f>
        <v>4422400.9420128725</v>
      </c>
      <c r="I48" s="409">
        <f>-D48</f>
        <v>-8849208.2079922054</v>
      </c>
      <c r="J48" s="409">
        <f>+G48+H48+I48</f>
        <v>50853204.509181567</v>
      </c>
      <c r="K48" s="409"/>
      <c r="L48" s="409"/>
      <c r="M48" s="409"/>
      <c r="N48" s="409"/>
      <c r="O48" s="407"/>
    </row>
    <row r="49" spans="2:15" ht="18.75" x14ac:dyDescent="0.3">
      <c r="B49" s="392" t="s">
        <v>59</v>
      </c>
      <c r="C49" s="394"/>
      <c r="D49" s="409">
        <f>+D48</f>
        <v>8849208.2079922054</v>
      </c>
      <c r="E49" s="394"/>
      <c r="F49" s="394">
        <f t="shared" ref="F49:F56" si="0">+F48+1</f>
        <v>3</v>
      </c>
      <c r="G49" s="409">
        <f t="shared" ref="G49:G56" si="1">+J48</f>
        <v>50853204.509181567</v>
      </c>
      <c r="H49" s="505">
        <f t="shared" ref="H49:H56" si="2">+G49*$F$42</f>
        <v>4068256.3607345256</v>
      </c>
      <c r="I49" s="409">
        <f t="shared" ref="I49:I56" si="3">-D49</f>
        <v>-8849208.2079922054</v>
      </c>
      <c r="J49" s="409">
        <f>+G49+H49+I49</f>
        <v>46072252.661923885</v>
      </c>
      <c r="K49" s="409"/>
      <c r="L49" s="409" t="s">
        <v>40</v>
      </c>
      <c r="M49" s="409"/>
      <c r="N49" s="409">
        <f>SUM(H47:H56)</f>
        <v>29113174.688113593</v>
      </c>
      <c r="O49" s="407"/>
    </row>
    <row r="50" spans="2:15" ht="18.75" x14ac:dyDescent="0.3">
      <c r="B50" s="392" t="s">
        <v>60</v>
      </c>
      <c r="C50" s="394"/>
      <c r="D50" s="409">
        <f>+D49</f>
        <v>8849208.2079922054</v>
      </c>
      <c r="E50" s="394"/>
      <c r="F50" s="394">
        <f t="shared" si="0"/>
        <v>4</v>
      </c>
      <c r="G50" s="409">
        <f t="shared" si="1"/>
        <v>46072252.661923885</v>
      </c>
      <c r="H50" s="505">
        <f t="shared" si="2"/>
        <v>3685780.2129539107</v>
      </c>
      <c r="I50" s="409">
        <f t="shared" si="3"/>
        <v>-8849208.2079922054</v>
      </c>
      <c r="J50" s="409">
        <f>+G50+H50+I50</f>
        <v>40908824.666885592</v>
      </c>
      <c r="K50" s="409"/>
      <c r="L50" s="409" t="s">
        <v>555</v>
      </c>
      <c r="M50" s="409"/>
      <c r="N50" s="409"/>
      <c r="O50" s="450">
        <f>+N49</f>
        <v>29113174.688113593</v>
      </c>
    </row>
    <row r="51" spans="2:15" ht="18.75" x14ac:dyDescent="0.3">
      <c r="B51" s="392" t="s">
        <v>61</v>
      </c>
      <c r="C51" s="394"/>
      <c r="D51" s="409">
        <f>+D50</f>
        <v>8849208.2079922054</v>
      </c>
      <c r="E51" s="394"/>
      <c r="F51" s="394">
        <f t="shared" si="0"/>
        <v>5</v>
      </c>
      <c r="G51" s="409">
        <f t="shared" si="1"/>
        <v>40908824.666885592</v>
      </c>
      <c r="H51" s="505">
        <f t="shared" si="2"/>
        <v>3272705.9733508476</v>
      </c>
      <c r="I51" s="409">
        <f t="shared" si="3"/>
        <v>-8849208.2079922054</v>
      </c>
      <c r="J51" s="409">
        <f>+G51+H51+I51</f>
        <v>35332322.432244234</v>
      </c>
      <c r="K51" s="409"/>
      <c r="L51" s="409"/>
      <c r="M51" s="409"/>
      <c r="N51" s="409"/>
      <c r="O51" s="407"/>
    </row>
    <row r="52" spans="2:15" ht="18.75" x14ac:dyDescent="0.3">
      <c r="B52" s="392" t="s">
        <v>62</v>
      </c>
      <c r="C52" s="394"/>
      <c r="D52" s="409">
        <f>+D51</f>
        <v>8849208.2079922054</v>
      </c>
      <c r="E52" s="394"/>
      <c r="F52" s="394">
        <f t="shared" si="0"/>
        <v>6</v>
      </c>
      <c r="G52" s="409">
        <f t="shared" si="1"/>
        <v>35332322.432244234</v>
      </c>
      <c r="H52" s="505">
        <f t="shared" si="2"/>
        <v>2826585.794579539</v>
      </c>
      <c r="I52" s="409">
        <f t="shared" si="3"/>
        <v>-8849208.2079922054</v>
      </c>
      <c r="J52" s="409">
        <f>+G52+H52+I52</f>
        <v>29309700.018831566</v>
      </c>
      <c r="K52" s="409"/>
      <c r="L52" s="409" t="s">
        <v>36</v>
      </c>
      <c r="M52" s="409"/>
      <c r="N52" s="409">
        <f>-SUM(I47:I56)</f>
        <v>88492082.079922065</v>
      </c>
      <c r="O52" s="407"/>
    </row>
    <row r="53" spans="2:15" ht="18.75" x14ac:dyDescent="0.3">
      <c r="B53" s="392" t="s">
        <v>63</v>
      </c>
      <c r="C53" s="394"/>
      <c r="D53" s="409">
        <f>+D52</f>
        <v>8849208.2079922054</v>
      </c>
      <c r="E53" s="394"/>
      <c r="F53" s="394">
        <f t="shared" si="0"/>
        <v>7</v>
      </c>
      <c r="G53" s="409">
        <f t="shared" si="1"/>
        <v>29309700.018831566</v>
      </c>
      <c r="H53" s="505">
        <f t="shared" si="2"/>
        <v>2344776.0015065256</v>
      </c>
      <c r="I53" s="409">
        <f t="shared" si="3"/>
        <v>-8849208.2079922054</v>
      </c>
      <c r="J53" s="409">
        <f>+G53+H53+I53</f>
        <v>22805267.812345885</v>
      </c>
      <c r="K53" s="409"/>
      <c r="L53" s="409" t="s">
        <v>40</v>
      </c>
      <c r="M53" s="409"/>
      <c r="N53" s="409"/>
      <c r="O53" s="450">
        <f>+N52</f>
        <v>88492082.079922065</v>
      </c>
    </row>
    <row r="54" spans="2:15" ht="18.75" x14ac:dyDescent="0.3">
      <c r="B54" s="392" t="s">
        <v>64</v>
      </c>
      <c r="C54" s="394"/>
      <c r="D54" s="409">
        <f>+D53</f>
        <v>8849208.2079922054</v>
      </c>
      <c r="E54" s="394"/>
      <c r="F54" s="394">
        <f t="shared" si="0"/>
        <v>8</v>
      </c>
      <c r="G54" s="409">
        <f t="shared" si="1"/>
        <v>22805267.812345885</v>
      </c>
      <c r="H54" s="505">
        <f t="shared" si="2"/>
        <v>1824421.4249876707</v>
      </c>
      <c r="I54" s="409">
        <f t="shared" si="3"/>
        <v>-8849208.2079922054</v>
      </c>
      <c r="J54" s="409">
        <f>+G54+H54+I54</f>
        <v>15780481.029341349</v>
      </c>
      <c r="K54" s="409"/>
      <c r="L54" s="409"/>
      <c r="M54" s="409"/>
      <c r="N54" s="409"/>
      <c r="O54" s="407"/>
    </row>
    <row r="55" spans="2:15" ht="18.75" x14ac:dyDescent="0.3">
      <c r="B55" s="392" t="s">
        <v>65</v>
      </c>
      <c r="C55" s="394"/>
      <c r="D55" s="409">
        <f>+D54</f>
        <v>8849208.2079922054</v>
      </c>
      <c r="E55" s="394"/>
      <c r="F55" s="394">
        <f t="shared" si="0"/>
        <v>9</v>
      </c>
      <c r="G55" s="409">
        <f t="shared" si="1"/>
        <v>15780481.029341349</v>
      </c>
      <c r="H55" s="505">
        <f t="shared" si="2"/>
        <v>1262438.482347308</v>
      </c>
      <c r="I55" s="409">
        <f t="shared" si="3"/>
        <v>-8849208.2079922054</v>
      </c>
      <c r="J55" s="409">
        <f>+G55+H55+I55</f>
        <v>8193711.3036964517</v>
      </c>
      <c r="K55" s="409"/>
      <c r="L55" s="506" t="s">
        <v>40</v>
      </c>
      <c r="M55" s="505"/>
      <c r="N55" s="505"/>
      <c r="O55" s="516">
        <f>+O47+N49-O53</f>
        <v>0</v>
      </c>
    </row>
    <row r="56" spans="2:15" ht="18.75" x14ac:dyDescent="0.3">
      <c r="B56" s="392" t="s">
        <v>66</v>
      </c>
      <c r="C56" s="394"/>
      <c r="D56" s="409">
        <f>+D55</f>
        <v>8849208.2079922054</v>
      </c>
      <c r="E56" s="394"/>
      <c r="F56" s="394">
        <f t="shared" si="0"/>
        <v>10</v>
      </c>
      <c r="G56" s="409">
        <f t="shared" si="1"/>
        <v>8193711.3036964517</v>
      </c>
      <c r="H56" s="505">
        <f t="shared" si="2"/>
        <v>655496.9042957162</v>
      </c>
      <c r="I56" s="409">
        <f t="shared" si="3"/>
        <v>-8849208.2079922054</v>
      </c>
      <c r="J56" s="409">
        <f>+G56+H56+I56</f>
        <v>-3.7252902984619141E-8</v>
      </c>
      <c r="K56" s="409"/>
      <c r="L56" s="409"/>
      <c r="M56" s="409"/>
      <c r="N56" s="409"/>
      <c r="O56" s="407"/>
    </row>
    <row r="57" spans="2:15" ht="18.75" x14ac:dyDescent="0.3">
      <c r="B57" s="392"/>
      <c r="C57" s="394"/>
      <c r="D57" s="409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407"/>
    </row>
    <row r="58" spans="2:15" ht="18.75" x14ac:dyDescent="0.3">
      <c r="B58" s="392"/>
      <c r="C58" s="394"/>
      <c r="D58" s="409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407"/>
    </row>
    <row r="59" spans="2:15" ht="18.75" x14ac:dyDescent="0.3">
      <c r="B59" s="392"/>
      <c r="C59" s="394"/>
      <c r="D59" s="420"/>
      <c r="E59" s="410"/>
      <c r="F59" s="410"/>
      <c r="G59" s="394"/>
      <c r="H59" s="394"/>
      <c r="I59" s="394"/>
      <c r="J59" s="394"/>
      <c r="K59" s="394"/>
      <c r="L59" s="394"/>
      <c r="M59" s="394"/>
      <c r="N59" s="394"/>
      <c r="O59" s="407"/>
    </row>
    <row r="60" spans="2:15" ht="18.75" x14ac:dyDescent="0.3">
      <c r="B60" s="392"/>
      <c r="C60" s="394"/>
      <c r="D60" s="420"/>
      <c r="E60" s="420" t="s">
        <v>436</v>
      </c>
      <c r="F60" s="422" t="s">
        <v>57</v>
      </c>
      <c r="G60" s="422" t="s">
        <v>58</v>
      </c>
      <c r="H60" s="422" t="s">
        <v>59</v>
      </c>
      <c r="I60" s="422" t="s">
        <v>60</v>
      </c>
      <c r="J60" s="422" t="s">
        <v>61</v>
      </c>
      <c r="K60" s="422" t="s">
        <v>62</v>
      </c>
      <c r="L60" s="422" t="s">
        <v>63</v>
      </c>
      <c r="M60" s="422" t="s">
        <v>64</v>
      </c>
      <c r="N60" s="422" t="s">
        <v>65</v>
      </c>
      <c r="O60" s="423" t="s">
        <v>66</v>
      </c>
    </row>
    <row r="61" spans="2:15" ht="18.75" x14ac:dyDescent="0.3">
      <c r="B61" s="497" t="s">
        <v>442</v>
      </c>
      <c r="C61" s="493"/>
      <c r="D61" s="500"/>
      <c r="E61" s="494">
        <f>+E46</f>
        <v>57499999.999999993</v>
      </c>
      <c r="F61" s="424"/>
      <c r="G61" s="424"/>
      <c r="H61" s="424"/>
      <c r="I61" s="424"/>
      <c r="J61" s="424"/>
      <c r="K61" s="424"/>
      <c r="L61" s="424"/>
      <c r="M61" s="424"/>
      <c r="N61" s="424"/>
      <c r="O61" s="425"/>
    </row>
    <row r="62" spans="2:15" ht="18.75" x14ac:dyDescent="0.3">
      <c r="B62" s="497" t="s">
        <v>51</v>
      </c>
      <c r="C62" s="493"/>
      <c r="D62" s="500"/>
      <c r="E62" s="494">
        <f>+C46</f>
        <v>-50000000</v>
      </c>
      <c r="F62" s="424"/>
      <c r="G62" s="424"/>
      <c r="H62" s="424"/>
      <c r="I62" s="424"/>
      <c r="J62" s="424"/>
      <c r="K62" s="424"/>
      <c r="L62" s="424"/>
      <c r="M62" s="424"/>
      <c r="N62" s="424"/>
      <c r="O62" s="425"/>
    </row>
    <row r="63" spans="2:15" ht="18.75" x14ac:dyDescent="0.3">
      <c r="B63" s="501"/>
      <c r="C63" s="502"/>
      <c r="D63" s="503"/>
      <c r="E63" s="504">
        <f>+E61+E62</f>
        <v>7499999.9999999925</v>
      </c>
      <c r="F63" s="424"/>
      <c r="G63" s="424"/>
      <c r="H63" s="424"/>
      <c r="I63" s="424"/>
      <c r="J63" s="424"/>
      <c r="K63" s="424"/>
      <c r="L63" s="424"/>
      <c r="M63" s="424"/>
      <c r="N63" s="424"/>
      <c r="O63" s="425"/>
    </row>
    <row r="64" spans="2:15" ht="18.75" x14ac:dyDescent="0.3">
      <c r="B64" s="392"/>
      <c r="C64" s="394"/>
      <c r="D64" s="409"/>
      <c r="E64" s="394"/>
      <c r="F64" s="424"/>
      <c r="G64" s="424"/>
      <c r="H64" s="424"/>
      <c r="I64" s="424"/>
      <c r="J64" s="424"/>
      <c r="K64" s="424"/>
      <c r="L64" s="424"/>
      <c r="M64" s="424"/>
      <c r="N64" s="424"/>
      <c r="O64" s="426"/>
    </row>
    <row r="65" spans="2:15" ht="18.75" x14ac:dyDescent="0.3">
      <c r="B65" s="392" t="s">
        <v>436</v>
      </c>
      <c r="C65" s="394"/>
      <c r="D65" s="420" t="s">
        <v>37</v>
      </c>
      <c r="E65" s="410" t="s">
        <v>38</v>
      </c>
      <c r="F65" s="424"/>
      <c r="G65" s="424"/>
      <c r="H65" s="424"/>
      <c r="I65" s="424"/>
      <c r="J65" s="424"/>
      <c r="K65" s="424"/>
      <c r="L65" s="424"/>
      <c r="M65" s="424"/>
      <c r="N65" s="424"/>
      <c r="O65" s="426"/>
    </row>
    <row r="66" spans="2:15" ht="18.75" x14ac:dyDescent="0.3">
      <c r="B66" s="484" t="s">
        <v>443</v>
      </c>
      <c r="C66" s="443"/>
      <c r="D66" s="505">
        <f>-C46</f>
        <v>50000000</v>
      </c>
      <c r="E66" s="443"/>
      <c r="F66" s="424"/>
      <c r="G66" s="424"/>
      <c r="H66" s="424"/>
      <c r="I66" s="424"/>
      <c r="J66" s="424"/>
      <c r="K66" s="424"/>
      <c r="L66" s="424"/>
      <c r="M66" s="424"/>
      <c r="N66" s="424"/>
      <c r="O66" s="426"/>
    </row>
    <row r="67" spans="2:15" ht="18.75" x14ac:dyDescent="0.3">
      <c r="B67" s="484" t="s">
        <v>444</v>
      </c>
      <c r="C67" s="443"/>
      <c r="D67" s="505"/>
      <c r="E67" s="505">
        <f>+D66</f>
        <v>50000000</v>
      </c>
      <c r="F67" s="424"/>
      <c r="G67" s="424"/>
      <c r="H67" s="424"/>
      <c r="I67" s="424"/>
      <c r="J67" s="424"/>
      <c r="K67" s="424"/>
      <c r="L67" s="424"/>
      <c r="M67" s="424"/>
      <c r="N67" s="424"/>
      <c r="O67" s="426"/>
    </row>
    <row r="68" spans="2:15" ht="18.75" x14ac:dyDescent="0.3">
      <c r="B68" s="392"/>
      <c r="C68" s="394"/>
      <c r="D68" s="409"/>
      <c r="E68" s="409"/>
      <c r="F68" s="424"/>
      <c r="G68" s="424"/>
      <c r="H68" s="424"/>
      <c r="I68" s="424"/>
      <c r="J68" s="424"/>
      <c r="K68" s="424"/>
      <c r="L68" s="424"/>
      <c r="M68" s="424"/>
      <c r="N68" s="424"/>
      <c r="O68" s="426"/>
    </row>
    <row r="69" spans="2:15" ht="18.75" x14ac:dyDescent="0.3">
      <c r="B69" s="484" t="s">
        <v>446</v>
      </c>
      <c r="C69" s="443"/>
      <c r="D69" s="505">
        <f>+E70</f>
        <v>57499999.999999993</v>
      </c>
      <c r="E69" s="443"/>
      <c r="F69" s="424"/>
      <c r="G69" s="424"/>
      <c r="H69" s="424"/>
      <c r="I69" s="424"/>
      <c r="J69" s="424"/>
      <c r="K69" s="424"/>
      <c r="L69" s="424"/>
      <c r="M69" s="424"/>
      <c r="N69" s="424"/>
      <c r="O69" s="426"/>
    </row>
    <row r="70" spans="2:15" ht="18.75" x14ac:dyDescent="0.3">
      <c r="B70" s="484" t="s">
        <v>445</v>
      </c>
      <c r="C70" s="443"/>
      <c r="D70" s="505"/>
      <c r="E70" s="505">
        <f>+E61</f>
        <v>57499999.999999993</v>
      </c>
      <c r="F70" s="424"/>
      <c r="G70" s="424"/>
      <c r="H70" s="424"/>
      <c r="I70" s="424"/>
      <c r="J70" s="424"/>
      <c r="K70" s="424"/>
      <c r="L70" s="424"/>
      <c r="M70" s="424"/>
      <c r="N70" s="424"/>
      <c r="O70" s="426"/>
    </row>
    <row r="71" spans="2:15" ht="18.75" x14ac:dyDescent="0.3">
      <c r="B71" s="392"/>
      <c r="C71" s="394"/>
      <c r="D71" s="409"/>
      <c r="E71" s="409"/>
      <c r="F71" s="424"/>
      <c r="G71" s="424"/>
      <c r="H71" s="424"/>
      <c r="I71" s="424"/>
      <c r="J71" s="424"/>
      <c r="K71" s="424"/>
      <c r="L71" s="424"/>
      <c r="M71" s="424"/>
      <c r="N71" s="424"/>
      <c r="O71" s="426"/>
    </row>
    <row r="72" spans="2:15" ht="18.75" x14ac:dyDescent="0.3">
      <c r="B72" s="484" t="s">
        <v>446</v>
      </c>
      <c r="C72" s="443"/>
      <c r="D72" s="505">
        <f>+G47-D69</f>
        <v>1878907.3918084353</v>
      </c>
      <c r="E72" s="443"/>
      <c r="F72" s="424"/>
      <c r="G72" s="424"/>
      <c r="H72" s="424"/>
      <c r="I72" s="424"/>
      <c r="J72" s="424"/>
      <c r="K72" s="424"/>
      <c r="L72" s="424"/>
      <c r="M72" s="424"/>
      <c r="N72" s="424"/>
      <c r="O72" s="426"/>
    </row>
    <row r="73" spans="2:15" ht="18.75" x14ac:dyDescent="0.3">
      <c r="B73" s="484" t="s">
        <v>447</v>
      </c>
      <c r="C73" s="443"/>
      <c r="D73" s="505"/>
      <c r="E73" s="505">
        <f>+D72</f>
        <v>1878907.3918084353</v>
      </c>
      <c r="F73" s="424"/>
      <c r="G73" s="424"/>
      <c r="H73" s="424"/>
      <c r="I73" s="424"/>
      <c r="J73" s="424"/>
      <c r="K73" s="424"/>
      <c r="L73" s="424"/>
      <c r="M73" s="424"/>
      <c r="N73" s="424"/>
      <c r="O73" s="426"/>
    </row>
    <row r="74" spans="2:15" ht="18.75" x14ac:dyDescent="0.3">
      <c r="B74" s="392"/>
      <c r="C74" s="394"/>
      <c r="D74" s="409"/>
      <c r="E74" s="394"/>
      <c r="F74" s="424"/>
      <c r="G74" s="424"/>
      <c r="H74" s="424"/>
      <c r="I74" s="424"/>
      <c r="J74" s="424"/>
      <c r="K74" s="424"/>
      <c r="L74" s="424"/>
      <c r="M74" s="424"/>
      <c r="N74" s="424"/>
      <c r="O74" s="426"/>
    </row>
    <row r="75" spans="2:15" s="390" customFormat="1" ht="18.75" x14ac:dyDescent="0.3">
      <c r="B75" s="405"/>
      <c r="C75" s="406"/>
      <c r="D75" s="406"/>
      <c r="E75" s="419" t="s">
        <v>57</v>
      </c>
      <c r="F75" s="419" t="s">
        <v>58</v>
      </c>
      <c r="G75" s="419" t="s">
        <v>59</v>
      </c>
      <c r="H75" s="419" t="s">
        <v>60</v>
      </c>
      <c r="I75" s="419" t="s">
        <v>61</v>
      </c>
      <c r="J75" s="419" t="s">
        <v>62</v>
      </c>
      <c r="K75" s="419" t="s">
        <v>63</v>
      </c>
      <c r="L75" s="419" t="s">
        <v>64</v>
      </c>
      <c r="M75" s="419" t="s">
        <v>65</v>
      </c>
      <c r="N75" s="419" t="s">
        <v>66</v>
      </c>
      <c r="O75" s="407"/>
    </row>
    <row r="76" spans="2:15" ht="18.75" x14ac:dyDescent="0.3">
      <c r="B76" s="405" t="s">
        <v>328</v>
      </c>
      <c r="C76" s="394"/>
      <c r="D76" s="394"/>
      <c r="E76" s="394"/>
      <c r="F76" s="409"/>
      <c r="G76" s="409"/>
      <c r="H76" s="427"/>
      <c r="I76" s="394"/>
      <c r="J76" s="394"/>
      <c r="K76" s="394"/>
      <c r="L76" s="394"/>
      <c r="M76" s="394"/>
      <c r="N76" s="394"/>
      <c r="O76" s="407"/>
    </row>
    <row r="77" spans="2:15" ht="18.75" x14ac:dyDescent="0.3">
      <c r="B77" s="510" t="s">
        <v>247</v>
      </c>
      <c r="C77" s="511"/>
      <c r="D77" s="511"/>
      <c r="E77" s="512">
        <v>3000000</v>
      </c>
      <c r="F77" s="512">
        <v>3000000</v>
      </c>
      <c r="G77" s="512">
        <v>3000000</v>
      </c>
      <c r="H77" s="512">
        <v>3000000</v>
      </c>
      <c r="I77" s="512">
        <v>3000000</v>
      </c>
      <c r="J77" s="512">
        <v>3000000</v>
      </c>
      <c r="K77" s="512">
        <v>3000000</v>
      </c>
      <c r="L77" s="512">
        <v>3000000</v>
      </c>
      <c r="M77" s="512">
        <v>3000000</v>
      </c>
      <c r="N77" s="512">
        <v>3000000</v>
      </c>
      <c r="O77" s="407" t="s">
        <v>512</v>
      </c>
    </row>
    <row r="78" spans="2:15" ht="18.75" x14ac:dyDescent="0.3">
      <c r="B78" s="510" t="s">
        <v>245</v>
      </c>
      <c r="C78" s="511"/>
      <c r="D78" s="511"/>
      <c r="E78" s="512">
        <f>-E77*50%</f>
        <v>-1500000</v>
      </c>
      <c r="F78" s="512">
        <f t="shared" ref="F78:N78" si="4">-F77*50%</f>
        <v>-1500000</v>
      </c>
      <c r="G78" s="512">
        <f t="shared" si="4"/>
        <v>-1500000</v>
      </c>
      <c r="H78" s="512">
        <f t="shared" si="4"/>
        <v>-1500000</v>
      </c>
      <c r="I78" s="512">
        <f t="shared" si="4"/>
        <v>-1500000</v>
      </c>
      <c r="J78" s="512">
        <f t="shared" si="4"/>
        <v>-1500000</v>
      </c>
      <c r="K78" s="512">
        <f t="shared" si="4"/>
        <v>-1500000</v>
      </c>
      <c r="L78" s="512">
        <f t="shared" si="4"/>
        <v>-1500000</v>
      </c>
      <c r="M78" s="512">
        <f t="shared" si="4"/>
        <v>-1500000</v>
      </c>
      <c r="N78" s="512">
        <f t="shared" si="4"/>
        <v>-1500000</v>
      </c>
      <c r="O78" s="407" t="s">
        <v>512</v>
      </c>
    </row>
    <row r="79" spans="2:15" ht="18.75" x14ac:dyDescent="0.3">
      <c r="B79" s="510" t="s">
        <v>509</v>
      </c>
      <c r="C79" s="511"/>
      <c r="D79" s="511"/>
      <c r="E79" s="512">
        <f>+E73/10</f>
        <v>187890.73918084352</v>
      </c>
      <c r="F79" s="512">
        <f>+E79</f>
        <v>187890.73918084352</v>
      </c>
      <c r="G79" s="512">
        <f t="shared" ref="G79" si="5">+F79</f>
        <v>187890.73918084352</v>
      </c>
      <c r="H79" s="512">
        <f t="shared" ref="H79" si="6">+G79</f>
        <v>187890.73918084352</v>
      </c>
      <c r="I79" s="512">
        <f t="shared" ref="I79" si="7">+H79</f>
        <v>187890.73918084352</v>
      </c>
      <c r="J79" s="512">
        <f t="shared" ref="J79" si="8">+I79</f>
        <v>187890.73918084352</v>
      </c>
      <c r="K79" s="512">
        <f t="shared" ref="K79" si="9">+J79</f>
        <v>187890.73918084352</v>
      </c>
      <c r="L79" s="512">
        <f t="shared" ref="L79" si="10">+K79</f>
        <v>187890.73918084352</v>
      </c>
      <c r="M79" s="512">
        <f t="shared" ref="M79" si="11">+L79</f>
        <v>187890.73918084352</v>
      </c>
      <c r="N79" s="512">
        <f t="shared" ref="N79" si="12">+M79</f>
        <v>187890.73918084352</v>
      </c>
      <c r="O79" s="407"/>
    </row>
    <row r="80" spans="2:15" ht="18.75" x14ac:dyDescent="0.3">
      <c r="B80" s="510" t="s">
        <v>471</v>
      </c>
      <c r="C80" s="511"/>
      <c r="D80" s="511"/>
      <c r="E80" s="515">
        <f>+E70</f>
        <v>57499999.999999993</v>
      </c>
      <c r="F80" s="409"/>
      <c r="G80" s="409"/>
      <c r="H80" s="427"/>
      <c r="I80" s="394"/>
      <c r="J80" s="394"/>
      <c r="K80" s="394"/>
      <c r="L80" s="394"/>
      <c r="M80" s="394"/>
      <c r="N80" s="394"/>
      <c r="O80" s="407"/>
    </row>
    <row r="81" spans="2:15" ht="18.75" x14ac:dyDescent="0.3">
      <c r="B81" s="510" t="s">
        <v>443</v>
      </c>
      <c r="C81" s="511"/>
      <c r="D81" s="511"/>
      <c r="E81" s="515">
        <f>-D66</f>
        <v>-50000000</v>
      </c>
      <c r="F81" s="409"/>
      <c r="G81" s="409"/>
      <c r="H81" s="427"/>
      <c r="I81" s="394"/>
      <c r="J81" s="394"/>
      <c r="K81" s="394"/>
      <c r="L81" s="394"/>
      <c r="M81" s="394"/>
      <c r="N81" s="394"/>
      <c r="O81" s="407"/>
    </row>
    <row r="82" spans="2:15" ht="18.75" x14ac:dyDescent="0.3">
      <c r="B82" s="510" t="s">
        <v>448</v>
      </c>
      <c r="C82" s="511"/>
      <c r="D82" s="511"/>
      <c r="E82" s="515">
        <f>+H47</f>
        <v>4750312.5913446741</v>
      </c>
      <c r="F82" s="515">
        <f>+H48</f>
        <v>4422400.9420128725</v>
      </c>
      <c r="G82" s="515">
        <f>+H49</f>
        <v>4068256.3607345256</v>
      </c>
      <c r="H82" s="515">
        <f>+H50</f>
        <v>3685780.2129539107</v>
      </c>
      <c r="I82" s="515">
        <f>+H51</f>
        <v>3272705.9733508476</v>
      </c>
      <c r="J82" s="515">
        <f>+H52</f>
        <v>2826585.794579539</v>
      </c>
      <c r="K82" s="515">
        <f>+H53</f>
        <v>2344776.0015065256</v>
      </c>
      <c r="L82" s="515">
        <f>+H54</f>
        <v>1824421.4249876707</v>
      </c>
      <c r="M82" s="515">
        <f>+H55</f>
        <v>1262438.482347308</v>
      </c>
      <c r="N82" s="515">
        <f>+H56</f>
        <v>655496.9042957162</v>
      </c>
      <c r="O82" s="407"/>
    </row>
    <row r="83" spans="2:15" ht="18.75" x14ac:dyDescent="0.3">
      <c r="B83" s="392"/>
      <c r="C83" s="394"/>
      <c r="D83" s="394"/>
      <c r="E83" s="428">
        <f>SUM(E77:E82)</f>
        <v>13938203.330525506</v>
      </c>
      <c r="F83" s="428">
        <f>SUM(F77:F82)</f>
        <v>6110291.6811937159</v>
      </c>
      <c r="G83" s="428">
        <f>SUM(G77:G82)</f>
        <v>5756147.0999153694</v>
      </c>
      <c r="H83" s="428">
        <f>SUM(H77:H82)</f>
        <v>5373670.9521347545</v>
      </c>
      <c r="I83" s="428">
        <f>SUM(I77:I82)</f>
        <v>4960596.7125316914</v>
      </c>
      <c r="J83" s="428">
        <f>SUM(J77:J82)</f>
        <v>4514476.5337603828</v>
      </c>
      <c r="K83" s="428">
        <f>SUM(K77:K82)</f>
        <v>4032666.7406873694</v>
      </c>
      <c r="L83" s="428">
        <f>SUM(L77:L82)</f>
        <v>3512312.1641685143</v>
      </c>
      <c r="M83" s="428">
        <f>SUM(M77:M82)</f>
        <v>2950329.2215281515</v>
      </c>
      <c r="N83" s="428">
        <f>SUM(N77:N82)</f>
        <v>2343387.6434765598</v>
      </c>
      <c r="O83" s="451">
        <f>SUM(E83:N83)</f>
        <v>53492082.07992202</v>
      </c>
    </row>
    <row r="84" spans="2:15" ht="18.75" x14ac:dyDescent="0.3">
      <c r="B84" s="392"/>
      <c r="C84" s="394"/>
      <c r="D84" s="394"/>
      <c r="E84" s="409"/>
      <c r="F84" s="409"/>
      <c r="G84" s="409"/>
      <c r="H84" s="427"/>
      <c r="I84" s="394"/>
      <c r="J84" s="394"/>
      <c r="K84" s="394"/>
      <c r="L84" s="394"/>
      <c r="M84" s="394"/>
      <c r="N84" s="394"/>
      <c r="O84" s="407"/>
    </row>
    <row r="85" spans="2:15" s="390" customFormat="1" ht="18.75" x14ac:dyDescent="0.3">
      <c r="B85" s="405"/>
      <c r="C85" s="406"/>
      <c r="D85" s="406"/>
      <c r="E85" s="419" t="s">
        <v>57</v>
      </c>
      <c r="F85" s="419" t="s">
        <v>58</v>
      </c>
      <c r="G85" s="419" t="s">
        <v>59</v>
      </c>
      <c r="H85" s="419" t="s">
        <v>60</v>
      </c>
      <c r="I85" s="419" t="s">
        <v>61</v>
      </c>
      <c r="J85" s="419" t="s">
        <v>62</v>
      </c>
      <c r="K85" s="419" t="s">
        <v>63</v>
      </c>
      <c r="L85" s="419" t="s">
        <v>64</v>
      </c>
      <c r="M85" s="419" t="s">
        <v>65</v>
      </c>
      <c r="N85" s="419" t="s">
        <v>66</v>
      </c>
      <c r="O85" s="407"/>
    </row>
    <row r="86" spans="2:15" ht="19.5" thickBot="1" x14ac:dyDescent="0.35">
      <c r="B86" s="405" t="s">
        <v>329</v>
      </c>
      <c r="C86" s="394"/>
      <c r="D86" s="394"/>
      <c r="E86" s="394"/>
      <c r="F86" s="409"/>
      <c r="G86" s="409"/>
      <c r="H86" s="427"/>
      <c r="I86" s="394"/>
      <c r="J86" s="394"/>
      <c r="K86" s="394"/>
      <c r="L86" s="394"/>
      <c r="M86" s="394"/>
      <c r="N86" s="394"/>
      <c r="O86" s="407"/>
    </row>
    <row r="87" spans="2:15" ht="19.5" thickBot="1" x14ac:dyDescent="0.35">
      <c r="B87" s="520" t="s">
        <v>32</v>
      </c>
      <c r="C87" s="521"/>
      <c r="D87" s="521"/>
      <c r="E87" s="522">
        <f>+D66</f>
        <v>50000000</v>
      </c>
      <c r="F87" s="409"/>
      <c r="G87" s="409"/>
      <c r="H87" s="427"/>
      <c r="I87" s="394"/>
      <c r="J87" s="394"/>
      <c r="K87" s="394"/>
      <c r="L87" s="394"/>
      <c r="M87" s="394"/>
      <c r="N87" s="394"/>
      <c r="O87" s="407"/>
    </row>
    <row r="88" spans="2:15" ht="18.75" x14ac:dyDescent="0.3">
      <c r="B88" s="405"/>
      <c r="C88" s="394"/>
      <c r="D88" s="394"/>
      <c r="E88" s="394"/>
      <c r="F88" s="409"/>
      <c r="G88" s="409"/>
      <c r="H88" s="427"/>
      <c r="I88" s="394"/>
      <c r="J88" s="394"/>
      <c r="K88" s="394"/>
      <c r="L88" s="394"/>
      <c r="M88" s="394"/>
      <c r="N88" s="394"/>
      <c r="O88" s="407"/>
    </row>
    <row r="89" spans="2:15" ht="18.75" x14ac:dyDescent="0.3">
      <c r="B89" s="508" t="s">
        <v>247</v>
      </c>
      <c r="C89" s="479"/>
      <c r="D89" s="479" t="s">
        <v>556</v>
      </c>
      <c r="E89" s="509">
        <f>+E77</f>
        <v>3000000</v>
      </c>
      <c r="F89" s="509">
        <f>+F77</f>
        <v>3000000</v>
      </c>
      <c r="G89" s="509">
        <f>+G77</f>
        <v>3000000</v>
      </c>
      <c r="H89" s="509">
        <f>+H77</f>
        <v>3000000</v>
      </c>
      <c r="I89" s="509">
        <f>+I77</f>
        <v>3000000</v>
      </c>
      <c r="J89" s="509">
        <f>+J77</f>
        <v>3000000</v>
      </c>
      <c r="K89" s="509">
        <f>+K77</f>
        <v>3000000</v>
      </c>
      <c r="L89" s="509">
        <f>+L77</f>
        <v>3000000</v>
      </c>
      <c r="M89" s="509">
        <f>+M77</f>
        <v>3000000</v>
      </c>
      <c r="N89" s="509">
        <f>+N77</f>
        <v>3000000</v>
      </c>
      <c r="O89" s="407"/>
    </row>
    <row r="90" spans="2:15" ht="18.75" x14ac:dyDescent="0.3">
      <c r="B90" s="508" t="s">
        <v>245</v>
      </c>
      <c r="C90" s="479"/>
      <c r="D90" s="479" t="s">
        <v>557</v>
      </c>
      <c r="E90" s="509">
        <f>+E78</f>
        <v>-1500000</v>
      </c>
      <c r="F90" s="509">
        <f>+F78</f>
        <v>-1500000</v>
      </c>
      <c r="G90" s="509">
        <f>+G78</f>
        <v>-1500000</v>
      </c>
      <c r="H90" s="509">
        <f>+H78</f>
        <v>-1500000</v>
      </c>
      <c r="I90" s="509">
        <f>+I78</f>
        <v>-1500000</v>
      </c>
      <c r="J90" s="509">
        <f>+J78</f>
        <v>-1500000</v>
      </c>
      <c r="K90" s="509">
        <f>+K78</f>
        <v>-1500000</v>
      </c>
      <c r="L90" s="509">
        <f>+L78</f>
        <v>-1500000</v>
      </c>
      <c r="M90" s="509">
        <f>+M78</f>
        <v>-1500000</v>
      </c>
      <c r="N90" s="509">
        <f>+N78</f>
        <v>-1500000</v>
      </c>
      <c r="O90" s="407"/>
    </row>
    <row r="91" spans="2:15" ht="18.75" x14ac:dyDescent="0.3">
      <c r="B91" s="508" t="s">
        <v>472</v>
      </c>
      <c r="C91" s="479"/>
      <c r="D91" s="479" t="s">
        <v>558</v>
      </c>
      <c r="E91" s="514">
        <f>-E87/10</f>
        <v>-5000000</v>
      </c>
      <c r="F91" s="509">
        <f>+E91</f>
        <v>-5000000</v>
      </c>
      <c r="G91" s="509">
        <f t="shared" ref="G91:G92" si="13">+F91</f>
        <v>-5000000</v>
      </c>
      <c r="H91" s="509">
        <f t="shared" ref="H91:H92" si="14">+G91</f>
        <v>-5000000</v>
      </c>
      <c r="I91" s="509">
        <f t="shared" ref="I91:I92" si="15">+H91</f>
        <v>-5000000</v>
      </c>
      <c r="J91" s="509">
        <f t="shared" ref="J91:J92" si="16">+I91</f>
        <v>-5000000</v>
      </c>
      <c r="K91" s="509">
        <f t="shared" ref="K91:K92" si="17">+J91</f>
        <v>-5000000</v>
      </c>
      <c r="L91" s="509">
        <f t="shared" ref="L91:L92" si="18">+K91</f>
        <v>-5000000</v>
      </c>
      <c r="M91" s="509">
        <f t="shared" ref="M91:M92" si="19">+L91</f>
        <v>-5000000</v>
      </c>
      <c r="N91" s="509">
        <f t="shared" ref="N91:N92" si="20">+M91</f>
        <v>-5000000</v>
      </c>
      <c r="O91" s="407"/>
    </row>
    <row r="92" spans="2:15" ht="18.75" x14ac:dyDescent="0.3">
      <c r="B92" s="508" t="s">
        <v>438</v>
      </c>
      <c r="C92" s="479"/>
      <c r="D92" s="479" t="s">
        <v>559</v>
      </c>
      <c r="E92" s="514">
        <f>-+I47</f>
        <v>8849208.2079922054</v>
      </c>
      <c r="F92" s="514">
        <f>+E92</f>
        <v>8849208.2079922054</v>
      </c>
      <c r="G92" s="514">
        <f t="shared" si="13"/>
        <v>8849208.2079922054</v>
      </c>
      <c r="H92" s="514">
        <f t="shared" si="14"/>
        <v>8849208.2079922054</v>
      </c>
      <c r="I92" s="514">
        <f t="shared" si="15"/>
        <v>8849208.2079922054</v>
      </c>
      <c r="J92" s="514">
        <f t="shared" si="16"/>
        <v>8849208.2079922054</v>
      </c>
      <c r="K92" s="514">
        <f t="shared" si="17"/>
        <v>8849208.2079922054</v>
      </c>
      <c r="L92" s="514">
        <f t="shared" si="18"/>
        <v>8849208.2079922054</v>
      </c>
      <c r="M92" s="514">
        <f t="shared" si="19"/>
        <v>8849208.2079922054</v>
      </c>
      <c r="N92" s="514">
        <f t="shared" si="20"/>
        <v>8849208.2079922054</v>
      </c>
      <c r="O92" s="407"/>
    </row>
    <row r="93" spans="2:15" ht="18.75" x14ac:dyDescent="0.3">
      <c r="B93" s="392"/>
      <c r="C93" s="394"/>
      <c r="D93" s="394"/>
      <c r="E93" s="428">
        <f>SUM(E89:E92)</f>
        <v>5349208.2079922054</v>
      </c>
      <c r="F93" s="428">
        <f t="shared" ref="F93:N93" si="21">SUM(F89:F92)</f>
        <v>5349208.2079922054</v>
      </c>
      <c r="G93" s="428">
        <f t="shared" si="21"/>
        <v>5349208.2079922054</v>
      </c>
      <c r="H93" s="428">
        <f t="shared" si="21"/>
        <v>5349208.2079922054</v>
      </c>
      <c r="I93" s="428">
        <f t="shared" si="21"/>
        <v>5349208.2079922054</v>
      </c>
      <c r="J93" s="428">
        <f t="shared" si="21"/>
        <v>5349208.2079922054</v>
      </c>
      <c r="K93" s="428">
        <f t="shared" si="21"/>
        <v>5349208.2079922054</v>
      </c>
      <c r="L93" s="428">
        <f t="shared" si="21"/>
        <v>5349208.2079922054</v>
      </c>
      <c r="M93" s="428">
        <f t="shared" si="21"/>
        <v>5349208.2079922054</v>
      </c>
      <c r="N93" s="428">
        <f t="shared" si="21"/>
        <v>5349208.2079922054</v>
      </c>
      <c r="O93" s="451">
        <f>SUM(E93:N93)</f>
        <v>53492082.079922043</v>
      </c>
    </row>
    <row r="94" spans="2:15" ht="18.75" x14ac:dyDescent="0.3">
      <c r="B94" s="392"/>
      <c r="C94" s="394"/>
      <c r="D94" s="394"/>
      <c r="E94" s="394"/>
      <c r="F94" s="409"/>
      <c r="G94" s="409"/>
      <c r="H94" s="427"/>
      <c r="I94" s="394"/>
      <c r="J94" s="394"/>
      <c r="K94" s="394"/>
      <c r="L94" s="394"/>
      <c r="M94" s="394"/>
      <c r="N94" s="394"/>
      <c r="O94" s="407"/>
    </row>
    <row r="95" spans="2:15" ht="18.75" x14ac:dyDescent="0.3">
      <c r="B95" s="403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451">
        <f>+O83-O93</f>
        <v>0</v>
      </c>
    </row>
    <row r="97" spans="2:15" ht="18.75" x14ac:dyDescent="0.3">
      <c r="B97" s="416" t="s">
        <v>450</v>
      </c>
      <c r="C97" s="417"/>
      <c r="D97" s="417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8"/>
    </row>
    <row r="98" spans="2:15" ht="18.75" x14ac:dyDescent="0.3">
      <c r="B98" s="491" t="s">
        <v>454</v>
      </c>
      <c r="C98" s="517"/>
      <c r="D98" s="518"/>
      <c r="E98" s="518"/>
      <c r="F98" s="518"/>
      <c r="G98" s="518"/>
      <c r="H98" s="518"/>
      <c r="I98" s="518"/>
      <c r="J98" s="394"/>
      <c r="K98" s="394"/>
      <c r="L98" s="394"/>
      <c r="M98" s="394"/>
      <c r="N98" s="394"/>
      <c r="O98" s="395"/>
    </row>
    <row r="99" spans="2:15" ht="18.75" x14ac:dyDescent="0.3">
      <c r="B99" s="491" t="s">
        <v>455</v>
      </c>
      <c r="C99" s="517"/>
      <c r="D99" s="518"/>
      <c r="E99" s="518"/>
      <c r="F99" s="518"/>
      <c r="G99" s="518"/>
      <c r="H99" s="518"/>
      <c r="I99" s="518"/>
      <c r="J99" s="394"/>
      <c r="K99" s="394"/>
      <c r="L99" s="394"/>
      <c r="M99" s="394"/>
      <c r="N99" s="394"/>
      <c r="O99" s="395"/>
    </row>
    <row r="100" spans="2:15" ht="18.75" x14ac:dyDescent="0.3">
      <c r="B100" s="491" t="s">
        <v>456</v>
      </c>
      <c r="C100" s="517"/>
      <c r="D100" s="518"/>
      <c r="E100" s="518"/>
      <c r="F100" s="518"/>
      <c r="G100" s="518"/>
      <c r="H100" s="518"/>
      <c r="I100" s="518"/>
      <c r="J100" s="394"/>
      <c r="K100" s="394"/>
      <c r="L100" s="394"/>
      <c r="M100" s="394"/>
      <c r="N100" s="394"/>
      <c r="O100" s="395"/>
    </row>
    <row r="101" spans="2:15" ht="18.75" x14ac:dyDescent="0.3">
      <c r="B101" s="392"/>
      <c r="C101" s="393"/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5"/>
    </row>
    <row r="102" spans="2:15" ht="18.75" x14ac:dyDescent="0.3">
      <c r="B102" s="524" t="s">
        <v>451</v>
      </c>
      <c r="C102" s="525"/>
      <c r="D102" s="526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5"/>
    </row>
    <row r="103" spans="2:15" ht="18.75" x14ac:dyDescent="0.3">
      <c r="B103" s="392"/>
      <c r="C103" s="393" t="s">
        <v>478</v>
      </c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5"/>
    </row>
    <row r="104" spans="2:15" ht="18.75" x14ac:dyDescent="0.3">
      <c r="B104" s="392"/>
      <c r="C104" s="393" t="s">
        <v>457</v>
      </c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5"/>
    </row>
    <row r="105" spans="2:15" ht="18.75" x14ac:dyDescent="0.3">
      <c r="B105" s="392"/>
      <c r="C105" s="393" t="s">
        <v>458</v>
      </c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5"/>
    </row>
    <row r="106" spans="2:15" ht="18.75" x14ac:dyDescent="0.3">
      <c r="B106" s="392"/>
      <c r="C106" s="479" t="s">
        <v>453</v>
      </c>
      <c r="D106" s="394"/>
      <c r="E106" s="394"/>
      <c r="F106" s="394"/>
      <c r="G106" s="394"/>
      <c r="H106" s="394"/>
      <c r="I106" s="394"/>
      <c r="J106" s="513"/>
      <c r="K106" s="394"/>
      <c r="L106" s="394"/>
      <c r="M106" s="394"/>
      <c r="N106" s="394"/>
      <c r="O106" s="395"/>
    </row>
    <row r="107" spans="2:15" ht="18.75" x14ac:dyDescent="0.3">
      <c r="B107" s="392"/>
      <c r="C107" s="479" t="s">
        <v>459</v>
      </c>
      <c r="D107" s="394"/>
      <c r="E107" s="394"/>
      <c r="F107" s="394"/>
      <c r="G107" s="394"/>
      <c r="H107" s="394"/>
      <c r="I107" s="394"/>
      <c r="J107" s="513"/>
      <c r="K107" s="394"/>
      <c r="L107" s="394"/>
      <c r="M107" s="394"/>
      <c r="N107" s="394"/>
      <c r="O107" s="395"/>
    </row>
    <row r="108" spans="2:15" ht="18.75" x14ac:dyDescent="0.3">
      <c r="B108" s="392"/>
      <c r="C108" s="479" t="s">
        <v>479</v>
      </c>
      <c r="D108" s="394"/>
      <c r="E108" s="394"/>
      <c r="F108" s="394"/>
      <c r="G108" s="394"/>
      <c r="H108" s="394"/>
      <c r="I108" s="394"/>
      <c r="J108" s="513"/>
      <c r="K108" s="394"/>
      <c r="L108" s="394"/>
      <c r="M108" s="394"/>
      <c r="N108" s="394"/>
      <c r="O108" s="395"/>
    </row>
    <row r="109" spans="2:15" ht="18.75" x14ac:dyDescent="0.3">
      <c r="B109" s="392"/>
      <c r="C109" s="393"/>
      <c r="D109" s="394"/>
      <c r="E109" s="394"/>
      <c r="F109" s="394"/>
      <c r="G109" s="394"/>
      <c r="H109" s="394"/>
      <c r="I109" s="394"/>
      <c r="J109" s="394"/>
      <c r="K109" s="394"/>
      <c r="L109" s="394"/>
      <c r="M109" s="394"/>
      <c r="N109" s="394"/>
      <c r="O109" s="395"/>
    </row>
    <row r="110" spans="2:15" ht="18.75" x14ac:dyDescent="0.3">
      <c r="B110" s="524" t="s">
        <v>452</v>
      </c>
      <c r="C110" s="525"/>
      <c r="D110" s="526"/>
      <c r="E110" s="394"/>
      <c r="F110" s="394"/>
      <c r="G110" s="394"/>
      <c r="H110" s="394"/>
      <c r="I110" s="394"/>
      <c r="J110" s="394"/>
      <c r="K110" s="394"/>
      <c r="L110" s="394"/>
      <c r="M110" s="394"/>
      <c r="N110" s="394"/>
      <c r="O110" s="395"/>
    </row>
    <row r="111" spans="2:15" ht="18.75" x14ac:dyDescent="0.3">
      <c r="B111" s="392"/>
      <c r="C111" s="479" t="s">
        <v>460</v>
      </c>
      <c r="D111" s="406"/>
      <c r="E111" s="406"/>
      <c r="F111" s="406"/>
      <c r="G111" s="406"/>
      <c r="H111" s="406"/>
      <c r="I111" s="406"/>
      <c r="J111" s="394"/>
      <c r="K111" s="394"/>
      <c r="L111" s="394"/>
      <c r="M111" s="394"/>
      <c r="N111" s="394"/>
      <c r="O111" s="395"/>
    </row>
    <row r="112" spans="2:15" ht="18.75" x14ac:dyDescent="0.3">
      <c r="B112" s="392"/>
      <c r="C112" s="479" t="s">
        <v>461</v>
      </c>
      <c r="D112" s="406"/>
      <c r="E112" s="406"/>
      <c r="F112" s="406"/>
      <c r="G112" s="406"/>
      <c r="H112" s="406"/>
      <c r="I112" s="406"/>
      <c r="J112" s="394"/>
      <c r="K112" s="394"/>
      <c r="L112" s="394"/>
      <c r="M112" s="394"/>
      <c r="N112" s="394"/>
      <c r="O112" s="395"/>
    </row>
    <row r="113" spans="2:15" ht="18.75" x14ac:dyDescent="0.3">
      <c r="B113" s="392"/>
      <c r="C113" s="479" t="s">
        <v>462</v>
      </c>
      <c r="D113" s="406"/>
      <c r="E113" s="406"/>
      <c r="F113" s="406"/>
      <c r="G113" s="406"/>
      <c r="H113" s="406"/>
      <c r="I113" s="406"/>
      <c r="J113" s="394"/>
      <c r="K113" s="394"/>
      <c r="L113" s="394"/>
      <c r="M113" s="394"/>
      <c r="N113" s="394"/>
      <c r="O113" s="395"/>
    </row>
    <row r="114" spans="2:15" ht="18.75" x14ac:dyDescent="0.3">
      <c r="B114" s="392"/>
      <c r="C114" s="479" t="s">
        <v>463</v>
      </c>
      <c r="D114" s="406"/>
      <c r="E114" s="406"/>
      <c r="F114" s="406"/>
      <c r="G114" s="406"/>
      <c r="H114" s="406"/>
      <c r="I114" s="406"/>
      <c r="J114" s="394"/>
      <c r="K114" s="394"/>
      <c r="L114" s="394"/>
      <c r="M114" s="394"/>
      <c r="N114" s="394"/>
      <c r="O114" s="395"/>
    </row>
    <row r="115" spans="2:15" ht="18.75" x14ac:dyDescent="0.3">
      <c r="B115" s="392"/>
      <c r="C115" s="393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5"/>
    </row>
    <row r="116" spans="2:15" ht="18.75" x14ac:dyDescent="0.3">
      <c r="B116" s="524" t="s">
        <v>482</v>
      </c>
      <c r="C116" s="525"/>
      <c r="D116" s="526"/>
      <c r="E116" s="394"/>
      <c r="F116" s="394"/>
      <c r="G116" s="394"/>
      <c r="H116" s="394"/>
      <c r="I116" s="394"/>
      <c r="J116" s="394"/>
      <c r="K116" s="394"/>
      <c r="L116" s="394"/>
      <c r="M116" s="394"/>
      <c r="N116" s="394"/>
      <c r="O116" s="395"/>
    </row>
    <row r="117" spans="2:15" ht="18.75" x14ac:dyDescent="0.3">
      <c r="B117" s="392"/>
      <c r="C117" s="479" t="s">
        <v>483</v>
      </c>
      <c r="D117" s="479"/>
      <c r="E117" s="479"/>
      <c r="F117" s="479"/>
      <c r="G117" s="479"/>
      <c r="H117" s="479"/>
      <c r="I117" s="479"/>
      <c r="J117" s="394"/>
      <c r="K117" s="394"/>
      <c r="L117" s="394"/>
      <c r="M117" s="394"/>
      <c r="N117" s="394"/>
      <c r="O117" s="395"/>
    </row>
    <row r="118" spans="2:15" ht="18.75" x14ac:dyDescent="0.3">
      <c r="B118" s="392"/>
      <c r="C118" s="479" t="s">
        <v>484</v>
      </c>
      <c r="D118" s="479"/>
      <c r="E118" s="479"/>
      <c r="F118" s="479"/>
      <c r="G118" s="479"/>
      <c r="H118" s="479"/>
      <c r="I118" s="479"/>
      <c r="J118" s="394"/>
      <c r="K118" s="394"/>
      <c r="L118" s="394"/>
      <c r="M118" s="394"/>
      <c r="N118" s="394"/>
      <c r="O118" s="395"/>
    </row>
    <row r="119" spans="2:15" ht="18.75" x14ac:dyDescent="0.3">
      <c r="B119" s="392"/>
      <c r="C119" s="479" t="s">
        <v>485</v>
      </c>
      <c r="D119" s="479"/>
      <c r="E119" s="479"/>
      <c r="F119" s="479"/>
      <c r="G119" s="479"/>
      <c r="H119" s="479"/>
      <c r="I119" s="479"/>
      <c r="J119" s="394"/>
      <c r="K119" s="394"/>
      <c r="L119" s="394"/>
      <c r="M119" s="394"/>
      <c r="N119" s="394"/>
      <c r="O119" s="395"/>
    </row>
    <row r="120" spans="2:15" ht="18.75" x14ac:dyDescent="0.3">
      <c r="B120" s="392"/>
      <c r="C120" s="479" t="s">
        <v>486</v>
      </c>
      <c r="D120" s="479"/>
      <c r="E120" s="479"/>
      <c r="F120" s="479"/>
      <c r="G120" s="479"/>
      <c r="H120" s="479"/>
      <c r="I120" s="479"/>
      <c r="J120" s="394"/>
      <c r="K120" s="394"/>
      <c r="L120" s="394"/>
      <c r="M120" s="394"/>
      <c r="N120" s="394"/>
      <c r="O120" s="395"/>
    </row>
    <row r="121" spans="2:15" ht="18.75" x14ac:dyDescent="0.3">
      <c r="B121" s="392"/>
      <c r="C121" s="393"/>
      <c r="D121" s="394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5"/>
    </row>
    <row r="122" spans="2:15" ht="18.75" x14ac:dyDescent="0.3">
      <c r="B122" s="392"/>
      <c r="C122" s="393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5"/>
    </row>
    <row r="123" spans="2:15" ht="18.75" x14ac:dyDescent="0.3">
      <c r="B123" s="429" t="s">
        <v>464</v>
      </c>
      <c r="C123" s="430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2"/>
    </row>
    <row r="124" spans="2:15" ht="18.75" x14ac:dyDescent="0.3">
      <c r="B124" s="527" t="s">
        <v>465</v>
      </c>
      <c r="C124" s="528"/>
      <c r="D124" s="529"/>
      <c r="E124" s="529"/>
      <c r="F124" s="530">
        <v>10000000</v>
      </c>
      <c r="G124" s="529"/>
      <c r="H124" s="529"/>
      <c r="I124" s="529"/>
      <c r="J124" s="394"/>
      <c r="K124" s="394"/>
      <c r="L124" s="394"/>
      <c r="M124" s="394"/>
      <c r="N124" s="394"/>
      <c r="O124" s="395"/>
    </row>
    <row r="125" spans="2:15" ht="18.75" x14ac:dyDescent="0.3">
      <c r="B125" s="527" t="s">
        <v>466</v>
      </c>
      <c r="C125" s="528"/>
      <c r="D125" s="529"/>
      <c r="E125" s="529"/>
      <c r="F125" s="529"/>
      <c r="G125" s="529"/>
      <c r="H125" s="529"/>
      <c r="I125" s="529"/>
      <c r="J125" s="394"/>
      <c r="K125" s="394"/>
      <c r="L125" s="394"/>
      <c r="M125" s="394"/>
      <c r="N125" s="394"/>
      <c r="O125" s="395"/>
    </row>
    <row r="126" spans="2:15" ht="18.75" x14ac:dyDescent="0.3">
      <c r="B126" s="527" t="s">
        <v>422</v>
      </c>
      <c r="C126" s="528"/>
      <c r="D126" s="529"/>
      <c r="E126" s="529"/>
      <c r="F126" s="529"/>
      <c r="G126" s="529"/>
      <c r="H126" s="529"/>
      <c r="I126" s="529"/>
      <c r="J126" s="394"/>
      <c r="K126" s="394"/>
      <c r="L126" s="394"/>
      <c r="M126" s="394"/>
      <c r="N126" s="394"/>
      <c r="O126" s="395"/>
    </row>
    <row r="127" spans="2:15" ht="18.75" x14ac:dyDescent="0.3">
      <c r="B127" s="527" t="s">
        <v>467</v>
      </c>
      <c r="C127" s="528"/>
      <c r="D127" s="529"/>
      <c r="E127" s="529"/>
      <c r="F127" s="529"/>
      <c r="G127" s="529"/>
      <c r="H127" s="529"/>
      <c r="I127" s="529"/>
      <c r="J127" s="394"/>
      <c r="K127" s="394"/>
      <c r="L127" s="394"/>
      <c r="M127" s="394"/>
      <c r="N127" s="394"/>
      <c r="O127" s="395"/>
    </row>
    <row r="128" spans="2:15" ht="18.75" x14ac:dyDescent="0.3">
      <c r="B128" s="392"/>
      <c r="C128" s="393"/>
      <c r="D128" s="394"/>
      <c r="E128" s="394"/>
      <c r="F128" s="394"/>
      <c r="G128" s="394"/>
      <c r="H128" s="394"/>
      <c r="I128" s="394"/>
      <c r="J128" s="394"/>
      <c r="K128" s="394"/>
      <c r="L128" s="394"/>
      <c r="M128" s="394"/>
      <c r="N128" s="394"/>
      <c r="O128" s="395"/>
    </row>
    <row r="129" spans="2:15" ht="18.75" x14ac:dyDescent="0.3">
      <c r="B129" s="405" t="s">
        <v>416</v>
      </c>
      <c r="C129" s="393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5"/>
    </row>
    <row r="130" spans="2:15" ht="18.75" x14ac:dyDescent="0.3">
      <c r="B130" s="405"/>
      <c r="C130" s="406" t="s">
        <v>468</v>
      </c>
      <c r="D130" s="394"/>
      <c r="E130" s="394"/>
      <c r="F130" s="411" t="s">
        <v>37</v>
      </c>
      <c r="G130" s="411" t="s">
        <v>38</v>
      </c>
      <c r="H130" s="394"/>
      <c r="I130" s="394"/>
      <c r="J130" s="394"/>
      <c r="K130" s="394"/>
      <c r="L130" s="394"/>
      <c r="M130" s="394"/>
      <c r="N130" s="394"/>
      <c r="O130" s="395"/>
    </row>
    <row r="131" spans="2:15" ht="18.75" x14ac:dyDescent="0.3">
      <c r="B131" s="392"/>
      <c r="C131" s="534" t="s">
        <v>443</v>
      </c>
      <c r="D131" s="534"/>
      <c r="E131" s="534"/>
      <c r="F131" s="535">
        <v>10000000</v>
      </c>
      <c r="G131" s="414"/>
      <c r="H131" s="406" t="s">
        <v>560</v>
      </c>
      <c r="I131" s="394"/>
      <c r="J131" s="394"/>
      <c r="K131" s="394"/>
      <c r="L131" s="394"/>
      <c r="M131" s="394"/>
      <c r="N131" s="394"/>
      <c r="O131" s="395"/>
    </row>
    <row r="132" spans="2:15" ht="18.75" x14ac:dyDescent="0.3">
      <c r="B132" s="392"/>
      <c r="C132" s="414" t="s">
        <v>469</v>
      </c>
      <c r="D132" s="414"/>
      <c r="E132" s="414"/>
      <c r="F132" s="414"/>
      <c r="G132" s="531">
        <f>+F131</f>
        <v>10000000</v>
      </c>
      <c r="H132" s="394"/>
      <c r="I132" s="394"/>
      <c r="J132" s="394"/>
      <c r="K132" s="394"/>
      <c r="L132" s="394"/>
      <c r="M132" s="394"/>
      <c r="N132" s="394"/>
      <c r="O132" s="395"/>
    </row>
    <row r="133" spans="2:15" ht="18.75" x14ac:dyDescent="0.3">
      <c r="B133" s="392"/>
      <c r="C133" s="393"/>
      <c r="D133" s="394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5"/>
    </row>
    <row r="134" spans="2:15" ht="18.75" x14ac:dyDescent="0.3">
      <c r="B134" s="392"/>
      <c r="C134" s="534" t="s">
        <v>35</v>
      </c>
      <c r="D134" s="534"/>
      <c r="E134" s="534"/>
      <c r="F134" s="535">
        <f>+G135</f>
        <v>11500000</v>
      </c>
      <c r="G134" s="535"/>
      <c r="H134" s="394"/>
      <c r="I134" s="394"/>
      <c r="J134" s="394"/>
      <c r="K134" s="394"/>
      <c r="L134" s="394"/>
      <c r="M134" s="394"/>
      <c r="N134" s="394"/>
      <c r="O134" s="395"/>
    </row>
    <row r="135" spans="2:15" ht="18.75" x14ac:dyDescent="0.3">
      <c r="B135" s="392"/>
      <c r="C135" s="534" t="s">
        <v>470</v>
      </c>
      <c r="D135" s="534"/>
      <c r="E135" s="534"/>
      <c r="F135" s="535"/>
      <c r="G135" s="535">
        <f>+G132*(1+H135)</f>
        <v>11500000</v>
      </c>
      <c r="H135" s="427">
        <v>0.15</v>
      </c>
      <c r="I135" s="394"/>
      <c r="J135" s="394"/>
      <c r="K135" s="394"/>
      <c r="L135" s="394"/>
      <c r="M135" s="394"/>
      <c r="N135" s="394"/>
      <c r="O135" s="407"/>
    </row>
    <row r="136" spans="2:15" ht="18.75" x14ac:dyDescent="0.3">
      <c r="B136" s="392"/>
      <c r="C136" s="394"/>
      <c r="D136" s="394"/>
      <c r="E136" s="394"/>
      <c r="F136" s="409"/>
      <c r="G136" s="409"/>
      <c r="H136" s="427"/>
      <c r="I136" s="394"/>
      <c r="J136" s="394"/>
      <c r="K136" s="394"/>
      <c r="L136" s="394"/>
      <c r="M136" s="394"/>
      <c r="N136" s="394"/>
      <c r="O136" s="407"/>
    </row>
    <row r="137" spans="2:15" ht="18.75" x14ac:dyDescent="0.3">
      <c r="B137" s="392"/>
      <c r="C137" s="394"/>
      <c r="D137" s="394"/>
      <c r="E137" s="394"/>
      <c r="F137" s="409"/>
      <c r="G137" s="409"/>
      <c r="H137" s="427"/>
      <c r="I137" s="394"/>
      <c r="J137" s="394"/>
      <c r="K137" s="394"/>
      <c r="L137" s="394"/>
      <c r="M137" s="394"/>
      <c r="N137" s="394"/>
      <c r="O137" s="407"/>
    </row>
    <row r="138" spans="2:15" s="390" customFormat="1" ht="18.75" x14ac:dyDescent="0.3">
      <c r="B138" s="405"/>
      <c r="C138" s="406"/>
      <c r="D138" s="406"/>
      <c r="E138" s="419" t="s">
        <v>57</v>
      </c>
      <c r="F138" s="419" t="s">
        <v>58</v>
      </c>
      <c r="G138" s="419" t="s">
        <v>59</v>
      </c>
      <c r="H138" s="419" t="s">
        <v>60</v>
      </c>
      <c r="I138" s="419" t="s">
        <v>61</v>
      </c>
      <c r="J138" s="419" t="s">
        <v>62</v>
      </c>
      <c r="K138" s="419" t="s">
        <v>63</v>
      </c>
      <c r="L138" s="419" t="s">
        <v>64</v>
      </c>
      <c r="M138" s="419" t="s">
        <v>65</v>
      </c>
      <c r="N138" s="419" t="s">
        <v>66</v>
      </c>
      <c r="O138" s="407"/>
    </row>
    <row r="139" spans="2:15" ht="18.75" x14ac:dyDescent="0.3">
      <c r="B139" s="405" t="s">
        <v>328</v>
      </c>
      <c r="C139" s="394"/>
      <c r="D139" s="394"/>
      <c r="E139" s="394"/>
      <c r="F139" s="409"/>
      <c r="G139" s="409"/>
      <c r="H139" s="427"/>
      <c r="I139" s="394"/>
      <c r="J139" s="394"/>
      <c r="K139" s="394"/>
      <c r="L139" s="394"/>
      <c r="M139" s="394"/>
      <c r="N139" s="394"/>
      <c r="O139" s="407"/>
    </row>
    <row r="140" spans="2:15" ht="18.75" x14ac:dyDescent="0.3">
      <c r="B140" s="508" t="s">
        <v>247</v>
      </c>
      <c r="C140" s="479"/>
      <c r="D140" s="532" t="s">
        <v>488</v>
      </c>
      <c r="E140" s="509">
        <v>3000000</v>
      </c>
      <c r="F140" s="509">
        <v>3000000</v>
      </c>
      <c r="G140" s="509">
        <v>3000000</v>
      </c>
      <c r="H140" s="509">
        <v>3000000</v>
      </c>
      <c r="I140" s="509">
        <v>3000000</v>
      </c>
      <c r="J140" s="509">
        <v>3000000</v>
      </c>
      <c r="K140" s="509">
        <v>3000000</v>
      </c>
      <c r="L140" s="509">
        <v>3000000</v>
      </c>
      <c r="M140" s="509">
        <v>3000000</v>
      </c>
      <c r="N140" s="509">
        <v>3000000</v>
      </c>
      <c r="O140" s="533" t="s">
        <v>561</v>
      </c>
    </row>
    <row r="141" spans="2:15" ht="18.75" x14ac:dyDescent="0.3">
      <c r="B141" s="508" t="s">
        <v>245</v>
      </c>
      <c r="C141" s="479"/>
      <c r="D141" s="479"/>
      <c r="E141" s="509">
        <f>-E140*50%</f>
        <v>-1500000</v>
      </c>
      <c r="F141" s="509">
        <f t="shared" ref="F141:N141" si="22">-F140*50%</f>
        <v>-1500000</v>
      </c>
      <c r="G141" s="509">
        <f t="shared" si="22"/>
        <v>-1500000</v>
      </c>
      <c r="H141" s="509">
        <f t="shared" si="22"/>
        <v>-1500000</v>
      </c>
      <c r="I141" s="509">
        <f t="shared" si="22"/>
        <v>-1500000</v>
      </c>
      <c r="J141" s="509">
        <f t="shared" si="22"/>
        <v>-1500000</v>
      </c>
      <c r="K141" s="509">
        <f t="shared" si="22"/>
        <v>-1500000</v>
      </c>
      <c r="L141" s="509">
        <f t="shared" si="22"/>
        <v>-1500000</v>
      </c>
      <c r="M141" s="509">
        <f t="shared" si="22"/>
        <v>-1500000</v>
      </c>
      <c r="N141" s="509">
        <f t="shared" si="22"/>
        <v>-1500000</v>
      </c>
      <c r="O141" s="533" t="s">
        <v>561</v>
      </c>
    </row>
    <row r="142" spans="2:15" ht="18.75" x14ac:dyDescent="0.3">
      <c r="B142" s="392" t="s">
        <v>473</v>
      </c>
      <c r="C142" s="394"/>
      <c r="D142" s="394"/>
      <c r="E142" s="509">
        <f>-F134/10</f>
        <v>-1150000</v>
      </c>
      <c r="F142" s="509">
        <f>+E142</f>
        <v>-1150000</v>
      </c>
      <c r="G142" s="509">
        <f t="shared" ref="G142:N142" si="23">+F142</f>
        <v>-1150000</v>
      </c>
      <c r="H142" s="509">
        <f t="shared" si="23"/>
        <v>-1150000</v>
      </c>
      <c r="I142" s="509">
        <f t="shared" si="23"/>
        <v>-1150000</v>
      </c>
      <c r="J142" s="509">
        <f t="shared" si="23"/>
        <v>-1150000</v>
      </c>
      <c r="K142" s="509">
        <f t="shared" si="23"/>
        <v>-1150000</v>
      </c>
      <c r="L142" s="509">
        <f t="shared" si="23"/>
        <v>-1150000</v>
      </c>
      <c r="M142" s="509">
        <f t="shared" si="23"/>
        <v>-1150000</v>
      </c>
      <c r="N142" s="509">
        <f t="shared" si="23"/>
        <v>-1150000</v>
      </c>
      <c r="O142" s="407"/>
    </row>
    <row r="143" spans="2:15" ht="18.75" x14ac:dyDescent="0.3">
      <c r="B143" s="392" t="s">
        <v>471</v>
      </c>
      <c r="C143" s="394"/>
      <c r="D143" s="394"/>
      <c r="E143" s="409">
        <f>+G135</f>
        <v>11500000</v>
      </c>
      <c r="F143" s="409"/>
      <c r="G143" s="409"/>
      <c r="H143" s="427"/>
      <c r="I143" s="394"/>
      <c r="J143" s="394"/>
      <c r="K143" s="394"/>
      <c r="L143" s="394"/>
      <c r="M143" s="394"/>
      <c r="N143" s="394"/>
      <c r="O143" s="407"/>
    </row>
    <row r="144" spans="2:15" ht="19.5" thickBot="1" x14ac:dyDescent="0.35">
      <c r="B144" s="392" t="s">
        <v>443</v>
      </c>
      <c r="C144" s="394"/>
      <c r="D144" s="394"/>
      <c r="E144" s="409">
        <f>-F131</f>
        <v>-10000000</v>
      </c>
      <c r="F144" s="409"/>
      <c r="G144" s="409"/>
      <c r="H144" s="427"/>
      <c r="I144" s="394"/>
      <c r="J144" s="394"/>
      <c r="K144" s="394"/>
      <c r="L144" s="394"/>
      <c r="M144" s="394"/>
      <c r="N144" s="394"/>
      <c r="O144" s="407"/>
    </row>
    <row r="145" spans="2:15" ht="19.5" thickBot="1" x14ac:dyDescent="0.35">
      <c r="B145" s="392"/>
      <c r="C145" s="394"/>
      <c r="D145" s="394"/>
      <c r="E145" s="428">
        <f t="shared" ref="E145:N145" si="24">SUM(E140:E144)</f>
        <v>1850000</v>
      </c>
      <c r="F145" s="428">
        <f t="shared" si="24"/>
        <v>350000</v>
      </c>
      <c r="G145" s="428">
        <f t="shared" si="24"/>
        <v>350000</v>
      </c>
      <c r="H145" s="428">
        <f t="shared" si="24"/>
        <v>350000</v>
      </c>
      <c r="I145" s="428">
        <f t="shared" si="24"/>
        <v>350000</v>
      </c>
      <c r="J145" s="428">
        <f t="shared" si="24"/>
        <v>350000</v>
      </c>
      <c r="K145" s="428">
        <f t="shared" si="24"/>
        <v>350000</v>
      </c>
      <c r="L145" s="428">
        <f t="shared" si="24"/>
        <v>350000</v>
      </c>
      <c r="M145" s="428">
        <f t="shared" si="24"/>
        <v>350000</v>
      </c>
      <c r="N145" s="428">
        <f t="shared" si="24"/>
        <v>350000</v>
      </c>
      <c r="O145" s="536">
        <f>SUM(E145:N145)</f>
        <v>5000000</v>
      </c>
    </row>
    <row r="146" spans="2:15" ht="18.75" x14ac:dyDescent="0.3">
      <c r="B146" s="392"/>
      <c r="C146" s="394"/>
      <c r="D146" s="394"/>
      <c r="E146" s="409"/>
      <c r="F146" s="409"/>
      <c r="G146" s="409"/>
      <c r="H146" s="427"/>
      <c r="I146" s="394"/>
      <c r="J146" s="394"/>
      <c r="K146" s="394"/>
      <c r="L146" s="394"/>
      <c r="M146" s="394"/>
      <c r="N146" s="394"/>
      <c r="O146" s="407"/>
    </row>
    <row r="147" spans="2:15" s="390" customFormat="1" ht="18.75" x14ac:dyDescent="0.3">
      <c r="B147" s="405"/>
      <c r="C147" s="406"/>
      <c r="D147" s="406"/>
      <c r="E147" s="419" t="s">
        <v>57</v>
      </c>
      <c r="F147" s="419" t="s">
        <v>58</v>
      </c>
      <c r="G147" s="419" t="s">
        <v>59</v>
      </c>
      <c r="H147" s="419" t="s">
        <v>60</v>
      </c>
      <c r="I147" s="419" t="s">
        <v>61</v>
      </c>
      <c r="J147" s="419" t="s">
        <v>62</v>
      </c>
      <c r="K147" s="419" t="s">
        <v>63</v>
      </c>
      <c r="L147" s="419" t="s">
        <v>64</v>
      </c>
      <c r="M147" s="419" t="s">
        <v>65</v>
      </c>
      <c r="N147" s="419" t="s">
        <v>66</v>
      </c>
      <c r="O147" s="407"/>
    </row>
    <row r="148" spans="2:15" ht="19.5" thickBot="1" x14ac:dyDescent="0.35">
      <c r="B148" s="405" t="s">
        <v>329</v>
      </c>
      <c r="C148" s="394"/>
      <c r="D148" s="394"/>
      <c r="E148" s="394"/>
      <c r="F148" s="409"/>
      <c r="G148" s="409"/>
      <c r="H148" s="427"/>
      <c r="I148" s="394"/>
      <c r="J148" s="394"/>
      <c r="K148" s="394"/>
      <c r="L148" s="394"/>
      <c r="M148" s="394"/>
      <c r="N148" s="394"/>
      <c r="O148" s="407"/>
    </row>
    <row r="149" spans="2:15" ht="19.5" thickBot="1" x14ac:dyDescent="0.35">
      <c r="B149" s="537" t="s">
        <v>32</v>
      </c>
      <c r="C149" s="538"/>
      <c r="D149" s="538"/>
      <c r="E149" s="539">
        <f>+G132</f>
        <v>10000000</v>
      </c>
      <c r="F149" s="409"/>
      <c r="G149" s="409"/>
      <c r="H149" s="427"/>
      <c r="I149" s="394"/>
      <c r="J149" s="394"/>
      <c r="K149" s="394"/>
      <c r="L149" s="394"/>
      <c r="M149" s="394"/>
      <c r="N149" s="394"/>
      <c r="O149" s="407"/>
    </row>
    <row r="150" spans="2:15" ht="18.75" x14ac:dyDescent="0.3">
      <c r="B150" s="405"/>
      <c r="C150" s="394"/>
      <c r="D150" s="394"/>
      <c r="E150" s="394"/>
      <c r="F150" s="409"/>
      <c r="G150" s="409"/>
      <c r="H150" s="427"/>
      <c r="I150" s="394"/>
      <c r="J150" s="394"/>
      <c r="K150" s="394"/>
      <c r="L150" s="394"/>
      <c r="M150" s="394"/>
      <c r="N150" s="394"/>
      <c r="O150" s="407"/>
    </row>
    <row r="151" spans="2:15" ht="18.75" x14ac:dyDescent="0.3">
      <c r="B151" s="508" t="s">
        <v>247</v>
      </c>
      <c r="C151" s="479"/>
      <c r="D151" s="394"/>
      <c r="E151" s="509">
        <f>+E140</f>
        <v>3000000</v>
      </c>
      <c r="F151" s="509">
        <f t="shared" ref="F151:N151" si="25">+F140</f>
        <v>3000000</v>
      </c>
      <c r="G151" s="509">
        <f t="shared" si="25"/>
        <v>3000000</v>
      </c>
      <c r="H151" s="509">
        <f t="shared" si="25"/>
        <v>3000000</v>
      </c>
      <c r="I151" s="509">
        <f t="shared" si="25"/>
        <v>3000000</v>
      </c>
      <c r="J151" s="509">
        <f t="shared" si="25"/>
        <v>3000000</v>
      </c>
      <c r="K151" s="509">
        <f t="shared" si="25"/>
        <v>3000000</v>
      </c>
      <c r="L151" s="509">
        <f t="shared" si="25"/>
        <v>3000000</v>
      </c>
      <c r="M151" s="509">
        <f t="shared" si="25"/>
        <v>3000000</v>
      </c>
      <c r="N151" s="509">
        <f t="shared" si="25"/>
        <v>3000000</v>
      </c>
      <c r="O151" s="533" t="s">
        <v>561</v>
      </c>
    </row>
    <row r="152" spans="2:15" ht="18.75" x14ac:dyDescent="0.3">
      <c r="B152" s="508" t="s">
        <v>245</v>
      </c>
      <c r="C152" s="479"/>
      <c r="D152" s="479"/>
      <c r="E152" s="509">
        <f>+E141</f>
        <v>-1500000</v>
      </c>
      <c r="F152" s="509">
        <f t="shared" ref="F152:N152" si="26">+F141</f>
        <v>-1500000</v>
      </c>
      <c r="G152" s="509">
        <f t="shared" si="26"/>
        <v>-1500000</v>
      </c>
      <c r="H152" s="509">
        <f t="shared" si="26"/>
        <v>-1500000</v>
      </c>
      <c r="I152" s="509">
        <f t="shared" si="26"/>
        <v>-1500000</v>
      </c>
      <c r="J152" s="509">
        <f t="shared" si="26"/>
        <v>-1500000</v>
      </c>
      <c r="K152" s="509">
        <f t="shared" si="26"/>
        <v>-1500000</v>
      </c>
      <c r="L152" s="509">
        <f t="shared" si="26"/>
        <v>-1500000</v>
      </c>
      <c r="M152" s="509">
        <f t="shared" si="26"/>
        <v>-1500000</v>
      </c>
      <c r="N152" s="509">
        <f t="shared" si="26"/>
        <v>-1500000</v>
      </c>
      <c r="O152" s="533" t="s">
        <v>561</v>
      </c>
    </row>
    <row r="153" spans="2:15" ht="18.75" x14ac:dyDescent="0.3">
      <c r="B153" s="508" t="s">
        <v>472</v>
      </c>
      <c r="C153" s="394"/>
      <c r="D153" s="394"/>
      <c r="E153" s="513">
        <f>-E149/10</f>
        <v>-1000000</v>
      </c>
      <c r="F153" s="507">
        <f>+E153</f>
        <v>-1000000</v>
      </c>
      <c r="G153" s="507">
        <f t="shared" ref="G153:N153" si="27">+F153</f>
        <v>-1000000</v>
      </c>
      <c r="H153" s="507">
        <f t="shared" si="27"/>
        <v>-1000000</v>
      </c>
      <c r="I153" s="507">
        <f t="shared" si="27"/>
        <v>-1000000</v>
      </c>
      <c r="J153" s="507">
        <f t="shared" si="27"/>
        <v>-1000000</v>
      </c>
      <c r="K153" s="507">
        <f t="shared" si="27"/>
        <v>-1000000</v>
      </c>
      <c r="L153" s="507">
        <f t="shared" si="27"/>
        <v>-1000000</v>
      </c>
      <c r="M153" s="507">
        <f t="shared" si="27"/>
        <v>-1000000</v>
      </c>
      <c r="N153" s="507">
        <f t="shared" si="27"/>
        <v>-1000000</v>
      </c>
      <c r="O153" s="407"/>
    </row>
    <row r="154" spans="2:15" ht="19.5" thickBot="1" x14ac:dyDescent="0.35">
      <c r="B154" s="392"/>
      <c r="C154" s="394"/>
      <c r="D154" s="394"/>
      <c r="E154" s="409"/>
      <c r="F154" s="409"/>
      <c r="G154" s="409"/>
      <c r="H154" s="427"/>
      <c r="I154" s="394"/>
      <c r="J154" s="394"/>
      <c r="K154" s="394"/>
      <c r="L154" s="394"/>
      <c r="M154" s="394"/>
      <c r="N154" s="394"/>
      <c r="O154" s="407"/>
    </row>
    <row r="155" spans="2:15" ht="19.5" thickBot="1" x14ac:dyDescent="0.35">
      <c r="B155" s="392"/>
      <c r="C155" s="394"/>
      <c r="D155" s="394"/>
      <c r="E155" s="428">
        <f>SUM(E151:E154)</f>
        <v>500000</v>
      </c>
      <c r="F155" s="428">
        <f t="shared" ref="F155" si="28">SUM(F151:F154)</f>
        <v>500000</v>
      </c>
      <c r="G155" s="428">
        <f t="shared" ref="G155" si="29">SUM(G151:G154)</f>
        <v>500000</v>
      </c>
      <c r="H155" s="428">
        <f t="shared" ref="H155" si="30">SUM(H151:H154)</f>
        <v>500000</v>
      </c>
      <c r="I155" s="428">
        <f t="shared" ref="I155" si="31">SUM(I151:I154)</f>
        <v>500000</v>
      </c>
      <c r="J155" s="428">
        <f t="shared" ref="J155" si="32">SUM(J151:J154)</f>
        <v>500000</v>
      </c>
      <c r="K155" s="428">
        <f t="shared" ref="K155" si="33">SUM(K151:K154)</f>
        <v>500000</v>
      </c>
      <c r="L155" s="428">
        <f t="shared" ref="L155" si="34">SUM(L151:L154)</f>
        <v>500000</v>
      </c>
      <c r="M155" s="428">
        <f t="shared" ref="M155" si="35">SUM(M151:M154)</f>
        <v>500000</v>
      </c>
      <c r="N155" s="428">
        <f t="shared" ref="N155" si="36">SUM(N151:N154)</f>
        <v>500000</v>
      </c>
      <c r="O155" s="536">
        <f>SUM(E155:N155)</f>
        <v>5000000</v>
      </c>
    </row>
    <row r="156" spans="2:15" ht="18.75" x14ac:dyDescent="0.3">
      <c r="B156" s="392"/>
      <c r="C156" s="394"/>
      <c r="D156" s="394"/>
      <c r="E156" s="394"/>
      <c r="F156" s="409"/>
      <c r="G156" s="409"/>
      <c r="H156" s="427"/>
      <c r="I156" s="394"/>
      <c r="J156" s="394"/>
      <c r="K156" s="394"/>
      <c r="L156" s="394"/>
      <c r="M156" s="394"/>
      <c r="N156" s="394"/>
      <c r="O156" s="407"/>
    </row>
    <row r="157" spans="2:15" ht="18.75" x14ac:dyDescent="0.3">
      <c r="B157" s="403"/>
      <c r="C157" s="396"/>
      <c r="D157" s="396"/>
      <c r="E157" s="396"/>
      <c r="F157" s="396"/>
      <c r="G157" s="396"/>
      <c r="H157" s="396"/>
      <c r="I157" s="396"/>
      <c r="J157" s="396"/>
      <c r="K157" s="396"/>
      <c r="L157" s="396"/>
      <c r="M157" s="396"/>
      <c r="N157" s="396"/>
      <c r="O157" s="397"/>
    </row>
    <row r="158" spans="2:15" ht="18.75" x14ac:dyDescent="0.3">
      <c r="B158" s="429" t="s">
        <v>474</v>
      </c>
      <c r="C158" s="430"/>
      <c r="D158" s="431"/>
      <c r="E158" s="431"/>
      <c r="F158" s="431"/>
      <c r="G158" s="431"/>
      <c r="H158" s="431"/>
      <c r="I158" s="431"/>
      <c r="J158" s="431"/>
      <c r="K158" s="431"/>
      <c r="L158" s="431"/>
      <c r="M158" s="431"/>
      <c r="N158" s="431"/>
      <c r="O158" s="432"/>
    </row>
    <row r="159" spans="2:15" ht="18.75" x14ac:dyDescent="0.3">
      <c r="B159" s="540" t="s">
        <v>465</v>
      </c>
      <c r="C159" s="413"/>
      <c r="D159" s="414"/>
      <c r="E159" s="414"/>
      <c r="F159" s="531">
        <v>10000000</v>
      </c>
      <c r="G159" s="414"/>
      <c r="H159" s="414"/>
      <c r="I159" s="414"/>
      <c r="J159" s="414"/>
      <c r="K159" s="414"/>
      <c r="L159" s="414"/>
      <c r="M159" s="414"/>
      <c r="N159" s="394"/>
      <c r="O159" s="395"/>
    </row>
    <row r="160" spans="2:15" ht="18.75" x14ac:dyDescent="0.3">
      <c r="B160" s="540" t="s">
        <v>466</v>
      </c>
      <c r="C160" s="413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394"/>
      <c r="O160" s="395"/>
    </row>
    <row r="161" spans="2:21" ht="18.75" x14ac:dyDescent="0.3">
      <c r="B161" s="540" t="s">
        <v>422</v>
      </c>
      <c r="C161" s="413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394"/>
      <c r="O161" s="395"/>
    </row>
    <row r="162" spans="2:21" ht="18.75" x14ac:dyDescent="0.3">
      <c r="B162" s="540" t="s">
        <v>562</v>
      </c>
      <c r="C162" s="413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394"/>
      <c r="O162" s="395"/>
    </row>
    <row r="163" spans="2:21" ht="18.75" x14ac:dyDescent="0.3">
      <c r="B163" s="392"/>
      <c r="C163" s="393"/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5"/>
    </row>
    <row r="164" spans="2:21" ht="18.75" x14ac:dyDescent="0.3">
      <c r="B164" s="405" t="s">
        <v>416</v>
      </c>
      <c r="C164" s="393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5"/>
    </row>
    <row r="165" spans="2:21" ht="18.75" x14ac:dyDescent="0.3">
      <c r="B165" s="405"/>
      <c r="C165" s="406" t="s">
        <v>468</v>
      </c>
      <c r="D165" s="394"/>
      <c r="E165" s="394"/>
      <c r="F165" s="411" t="s">
        <v>37</v>
      </c>
      <c r="G165" s="411" t="s">
        <v>38</v>
      </c>
      <c r="H165" s="394"/>
      <c r="I165" s="394"/>
      <c r="J165" s="414" t="s">
        <v>475</v>
      </c>
      <c r="K165" s="414"/>
      <c r="L165" s="531">
        <v>1600000</v>
      </c>
      <c r="M165" s="394"/>
      <c r="N165" s="394"/>
      <c r="O165" s="395"/>
    </row>
    <row r="166" spans="2:21" ht="18.75" x14ac:dyDescent="0.3">
      <c r="B166" s="392"/>
      <c r="C166" s="414" t="s">
        <v>443</v>
      </c>
      <c r="D166" s="414"/>
      <c r="E166" s="414"/>
      <c r="F166" s="531">
        <v>10000000</v>
      </c>
      <c r="G166" s="414"/>
      <c r="H166" s="394"/>
      <c r="I166" s="394"/>
      <c r="J166" s="394" t="s">
        <v>476</v>
      </c>
      <c r="K166" s="394"/>
      <c r="L166" s="541">
        <v>0.06</v>
      </c>
      <c r="M166" s="394"/>
      <c r="N166" s="394"/>
      <c r="O166" s="395"/>
      <c r="S166" s="390" t="s">
        <v>441</v>
      </c>
    </row>
    <row r="167" spans="2:21" ht="18.75" x14ac:dyDescent="0.3">
      <c r="B167" s="392"/>
      <c r="C167" s="414" t="s">
        <v>469</v>
      </c>
      <c r="D167" s="414"/>
      <c r="E167" s="414"/>
      <c r="F167" s="414"/>
      <c r="G167" s="531">
        <f>+F166</f>
        <v>10000000</v>
      </c>
      <c r="H167" s="394"/>
      <c r="I167" s="394"/>
      <c r="J167" s="414" t="s">
        <v>29</v>
      </c>
      <c r="K167" s="414"/>
      <c r="L167" s="414">
        <v>10</v>
      </c>
      <c r="M167" s="394"/>
      <c r="N167" s="394"/>
      <c r="O167" s="395"/>
      <c r="Q167" s="434">
        <v>1</v>
      </c>
      <c r="R167" s="435">
        <f>+L168</f>
        <v>11776139.282263523</v>
      </c>
      <c r="S167" s="435">
        <f>+R167*$L$166</f>
        <v>706568.35693581135</v>
      </c>
      <c r="T167" s="543">
        <f>-L165</f>
        <v>-1600000</v>
      </c>
      <c r="U167" s="436">
        <f>+R167+S167+T167</f>
        <v>10882707.639199335</v>
      </c>
    </row>
    <row r="168" spans="2:21" ht="18.75" x14ac:dyDescent="0.3">
      <c r="B168" s="392"/>
      <c r="C168" s="393"/>
      <c r="D168" s="394"/>
      <c r="E168" s="394"/>
      <c r="F168" s="394"/>
      <c r="G168" s="394"/>
      <c r="H168" s="394"/>
      <c r="I168" s="394"/>
      <c r="J168" s="394" t="s">
        <v>477</v>
      </c>
      <c r="K168" s="394"/>
      <c r="L168" s="409">
        <f>-PV(L166,L167,L165,0,0)</f>
        <v>11776139.282263523</v>
      </c>
      <c r="M168" s="394"/>
      <c r="N168" s="394"/>
      <c r="O168" s="395"/>
      <c r="Q168" s="437">
        <f>+Q167+1</f>
        <v>2</v>
      </c>
      <c r="R168" s="438">
        <f>+U167</f>
        <v>10882707.639199335</v>
      </c>
      <c r="S168" s="438">
        <f>+R168*$L$166</f>
        <v>652962.45835196006</v>
      </c>
      <c r="T168" s="544">
        <f>+T167</f>
        <v>-1600000</v>
      </c>
      <c r="U168" s="439">
        <f>+R168+S168+T168</f>
        <v>9935670.0975512955</v>
      </c>
    </row>
    <row r="169" spans="2:21" ht="18.75" x14ac:dyDescent="0.3">
      <c r="B169" s="392"/>
      <c r="C169" s="414" t="s">
        <v>40</v>
      </c>
      <c r="D169" s="414"/>
      <c r="E169" s="414"/>
      <c r="F169" s="531">
        <f>+G170</f>
        <v>11776139.282263523</v>
      </c>
      <c r="G169" s="531"/>
      <c r="H169" s="394"/>
      <c r="I169" s="394"/>
      <c r="J169" s="394"/>
      <c r="K169" s="394"/>
      <c r="L169" s="394"/>
      <c r="M169" s="394"/>
      <c r="N169" s="394"/>
      <c r="O169" s="395"/>
      <c r="Q169" s="437">
        <f t="shared" ref="Q169:Q176" si="37">+Q168+1</f>
        <v>3</v>
      </c>
      <c r="R169" s="438">
        <f t="shared" ref="R169:R176" si="38">+U168</f>
        <v>9935670.0975512955</v>
      </c>
      <c r="S169" s="438">
        <f t="shared" ref="S169:S176" si="39">+R169*$L$166</f>
        <v>596140.2058530777</v>
      </c>
      <c r="T169" s="544">
        <f t="shared" ref="T169:T176" si="40">+T168</f>
        <v>-1600000</v>
      </c>
      <c r="U169" s="439">
        <f t="shared" ref="U169:U176" si="41">+R169+S169+T169</f>
        <v>8931810.303404374</v>
      </c>
    </row>
    <row r="170" spans="2:21" ht="18.75" x14ac:dyDescent="0.3">
      <c r="B170" s="392"/>
      <c r="C170" s="414" t="s">
        <v>470</v>
      </c>
      <c r="D170" s="414"/>
      <c r="E170" s="414"/>
      <c r="F170" s="531"/>
      <c r="G170" s="531">
        <f>+L168</f>
        <v>11776139.282263523</v>
      </c>
      <c r="H170" s="394"/>
      <c r="I170" s="394"/>
      <c r="J170" s="394"/>
      <c r="K170" s="394"/>
      <c r="L170" s="394"/>
      <c r="M170" s="394"/>
      <c r="N170" s="394"/>
      <c r="O170" s="407"/>
      <c r="Q170" s="437">
        <f t="shared" si="37"/>
        <v>4</v>
      </c>
      <c r="R170" s="438">
        <f t="shared" si="38"/>
        <v>8931810.303404374</v>
      </c>
      <c r="S170" s="438">
        <f t="shared" si="39"/>
        <v>535908.61820426246</v>
      </c>
      <c r="T170" s="544">
        <f t="shared" si="40"/>
        <v>-1600000</v>
      </c>
      <c r="U170" s="439">
        <f t="shared" si="41"/>
        <v>7867718.9216086362</v>
      </c>
    </row>
    <row r="171" spans="2:21" ht="18.75" x14ac:dyDescent="0.3">
      <c r="B171" s="392"/>
      <c r="C171" s="394"/>
      <c r="D171" s="394"/>
      <c r="E171" s="394"/>
      <c r="F171" s="409"/>
      <c r="G171" s="409"/>
      <c r="H171" s="427"/>
      <c r="I171" s="394"/>
      <c r="J171" s="394"/>
      <c r="K171" s="394"/>
      <c r="L171" s="394"/>
      <c r="M171" s="394"/>
      <c r="N171" s="394"/>
      <c r="O171" s="407"/>
      <c r="Q171" s="437">
        <f t="shared" si="37"/>
        <v>5</v>
      </c>
      <c r="R171" s="438">
        <f t="shared" si="38"/>
        <v>7867718.9216086362</v>
      </c>
      <c r="S171" s="438">
        <f t="shared" si="39"/>
        <v>472063.13529651816</v>
      </c>
      <c r="T171" s="544">
        <f t="shared" si="40"/>
        <v>-1600000</v>
      </c>
      <c r="U171" s="439">
        <f t="shared" si="41"/>
        <v>6739782.0569051541</v>
      </c>
    </row>
    <row r="172" spans="2:21" ht="18.75" x14ac:dyDescent="0.3">
      <c r="B172" s="392"/>
      <c r="C172" s="394"/>
      <c r="D172" s="394"/>
      <c r="E172" s="394"/>
      <c r="F172" s="409"/>
      <c r="G172" s="409"/>
      <c r="H172" s="427"/>
      <c r="I172" s="394"/>
      <c r="J172" s="394"/>
      <c r="K172" s="394"/>
      <c r="L172" s="394"/>
      <c r="M172" s="394"/>
      <c r="N172" s="394"/>
      <c r="O172" s="407"/>
      <c r="Q172" s="437">
        <f t="shared" si="37"/>
        <v>6</v>
      </c>
      <c r="R172" s="438">
        <f t="shared" si="38"/>
        <v>6739782.0569051541</v>
      </c>
      <c r="S172" s="438">
        <f t="shared" si="39"/>
        <v>404386.92341430922</v>
      </c>
      <c r="T172" s="544">
        <f t="shared" si="40"/>
        <v>-1600000</v>
      </c>
      <c r="U172" s="439">
        <f t="shared" si="41"/>
        <v>5544168.9803194636</v>
      </c>
    </row>
    <row r="173" spans="2:21" ht="18.75" x14ac:dyDescent="0.3">
      <c r="B173" s="405"/>
      <c r="C173" s="406"/>
      <c r="D173" s="406"/>
      <c r="E173" s="419" t="s">
        <v>57</v>
      </c>
      <c r="F173" s="419" t="s">
        <v>58</v>
      </c>
      <c r="G173" s="419" t="s">
        <v>59</v>
      </c>
      <c r="H173" s="419" t="s">
        <v>60</v>
      </c>
      <c r="I173" s="419" t="s">
        <v>61</v>
      </c>
      <c r="J173" s="419" t="s">
        <v>62</v>
      </c>
      <c r="K173" s="419" t="s">
        <v>63</v>
      </c>
      <c r="L173" s="419" t="s">
        <v>64</v>
      </c>
      <c r="M173" s="419" t="s">
        <v>65</v>
      </c>
      <c r="N173" s="419" t="s">
        <v>66</v>
      </c>
      <c r="O173" s="407"/>
      <c r="Q173" s="437">
        <f t="shared" si="37"/>
        <v>7</v>
      </c>
      <c r="R173" s="438">
        <f t="shared" si="38"/>
        <v>5544168.9803194636</v>
      </c>
      <c r="S173" s="438">
        <f t="shared" si="39"/>
        <v>332650.1388191678</v>
      </c>
      <c r="T173" s="544">
        <f t="shared" si="40"/>
        <v>-1600000</v>
      </c>
      <c r="U173" s="439">
        <f t="shared" si="41"/>
        <v>4276819.119138631</v>
      </c>
    </row>
    <row r="174" spans="2:21" ht="18.75" x14ac:dyDescent="0.3">
      <c r="B174" s="405" t="s">
        <v>328</v>
      </c>
      <c r="C174" s="394"/>
      <c r="D174" s="394"/>
      <c r="E174" s="394"/>
      <c r="F174" s="409"/>
      <c r="G174" s="409"/>
      <c r="H174" s="427"/>
      <c r="I174" s="394"/>
      <c r="J174" s="394"/>
      <c r="K174" s="394"/>
      <c r="L174" s="394"/>
      <c r="M174" s="394"/>
      <c r="N174" s="394"/>
      <c r="O174" s="407"/>
      <c r="Q174" s="437">
        <f t="shared" si="37"/>
        <v>8</v>
      </c>
      <c r="R174" s="438">
        <f t="shared" si="38"/>
        <v>4276819.119138631</v>
      </c>
      <c r="S174" s="438">
        <f t="shared" si="39"/>
        <v>256609.14714831786</v>
      </c>
      <c r="T174" s="544">
        <f t="shared" si="40"/>
        <v>-1600000</v>
      </c>
      <c r="U174" s="439">
        <f t="shared" si="41"/>
        <v>2933428.2662869487</v>
      </c>
    </row>
    <row r="175" spans="2:21" ht="18.75" x14ac:dyDescent="0.3">
      <c r="B175" s="540" t="s">
        <v>247</v>
      </c>
      <c r="C175" s="414"/>
      <c r="D175" s="414" t="s">
        <v>488</v>
      </c>
      <c r="E175" s="542">
        <v>3000000</v>
      </c>
      <c r="F175" s="542">
        <v>3000000</v>
      </c>
      <c r="G175" s="542">
        <v>3000000</v>
      </c>
      <c r="H175" s="542">
        <v>3000000</v>
      </c>
      <c r="I175" s="542">
        <v>3000000</v>
      </c>
      <c r="J175" s="542">
        <v>3000000</v>
      </c>
      <c r="K175" s="542">
        <v>3000000</v>
      </c>
      <c r="L175" s="542">
        <v>3000000</v>
      </c>
      <c r="M175" s="542">
        <v>3000000</v>
      </c>
      <c r="N175" s="542">
        <v>3000000</v>
      </c>
      <c r="O175" s="407"/>
      <c r="Q175" s="437">
        <f t="shared" si="37"/>
        <v>9</v>
      </c>
      <c r="R175" s="438">
        <f t="shared" si="38"/>
        <v>2933428.2662869487</v>
      </c>
      <c r="S175" s="438">
        <f t="shared" si="39"/>
        <v>176005.69597721691</v>
      </c>
      <c r="T175" s="544">
        <f t="shared" si="40"/>
        <v>-1600000</v>
      </c>
      <c r="U175" s="439">
        <f t="shared" si="41"/>
        <v>1509433.9622641657</v>
      </c>
    </row>
    <row r="176" spans="2:21" ht="18.75" x14ac:dyDescent="0.3">
      <c r="B176" s="540" t="s">
        <v>245</v>
      </c>
      <c r="C176" s="414"/>
      <c r="D176" s="414"/>
      <c r="E176" s="542">
        <f>-E175*50%</f>
        <v>-1500000</v>
      </c>
      <c r="F176" s="542">
        <f t="shared" ref="F176" si="42">-F175*50%</f>
        <v>-1500000</v>
      </c>
      <c r="G176" s="542">
        <f t="shared" ref="G176" si="43">-G175*50%</f>
        <v>-1500000</v>
      </c>
      <c r="H176" s="542">
        <f t="shared" ref="H176" si="44">-H175*50%</f>
        <v>-1500000</v>
      </c>
      <c r="I176" s="542">
        <f t="shared" ref="I176" si="45">-I175*50%</f>
        <v>-1500000</v>
      </c>
      <c r="J176" s="542">
        <f t="shared" ref="J176" si="46">-J175*50%</f>
        <v>-1500000</v>
      </c>
      <c r="K176" s="542">
        <f t="shared" ref="K176" si="47">-K175*50%</f>
        <v>-1500000</v>
      </c>
      <c r="L176" s="542">
        <f t="shared" ref="L176" si="48">-L175*50%</f>
        <v>-1500000</v>
      </c>
      <c r="M176" s="542">
        <f t="shared" ref="M176" si="49">-M175*50%</f>
        <v>-1500000</v>
      </c>
      <c r="N176" s="542">
        <f t="shared" ref="N176" si="50">-N175*50%</f>
        <v>-1500000</v>
      </c>
      <c r="O176" s="407"/>
      <c r="Q176" s="440">
        <f t="shared" si="37"/>
        <v>10</v>
      </c>
      <c r="R176" s="441">
        <f t="shared" si="38"/>
        <v>1509433.9622641657</v>
      </c>
      <c r="S176" s="441">
        <f t="shared" si="39"/>
        <v>90566.037735849939</v>
      </c>
      <c r="T176" s="545">
        <f t="shared" si="40"/>
        <v>-1600000</v>
      </c>
      <c r="U176" s="442">
        <f t="shared" si="41"/>
        <v>1.5599653124809265E-8</v>
      </c>
    </row>
    <row r="177" spans="2:15" ht="18.75" x14ac:dyDescent="0.3">
      <c r="B177" s="540" t="s">
        <v>448</v>
      </c>
      <c r="C177" s="414"/>
      <c r="D177" s="414"/>
      <c r="E177" s="542">
        <f>+S167</f>
        <v>706568.35693581135</v>
      </c>
      <c r="F177" s="542">
        <f>+S168</f>
        <v>652962.45835196006</v>
      </c>
      <c r="G177" s="542">
        <f>+S169</f>
        <v>596140.2058530777</v>
      </c>
      <c r="H177" s="542">
        <f>+S170</f>
        <v>535908.61820426246</v>
      </c>
      <c r="I177" s="542">
        <f>+S171</f>
        <v>472063.13529651816</v>
      </c>
      <c r="J177" s="542">
        <f>+S172</f>
        <v>404386.92341430922</v>
      </c>
      <c r="K177" s="542">
        <f>+S173</f>
        <v>332650.1388191678</v>
      </c>
      <c r="L177" s="542">
        <f>+S174</f>
        <v>256609.14714831786</v>
      </c>
      <c r="M177" s="542">
        <f>+S175</f>
        <v>176005.69597721691</v>
      </c>
      <c r="N177" s="542">
        <f>+S176</f>
        <v>90566.037735849939</v>
      </c>
      <c r="O177" s="407"/>
    </row>
    <row r="178" spans="2:15" ht="18.75" x14ac:dyDescent="0.3">
      <c r="B178" s="540" t="s">
        <v>471</v>
      </c>
      <c r="C178" s="414"/>
      <c r="D178" s="414"/>
      <c r="E178" s="531">
        <f>+G170</f>
        <v>11776139.282263523</v>
      </c>
      <c r="F178" s="414"/>
      <c r="G178" s="414"/>
      <c r="H178" s="414"/>
      <c r="I178" s="414"/>
      <c r="J178" s="414"/>
      <c r="K178" s="414"/>
      <c r="L178" s="414"/>
      <c r="M178" s="414"/>
      <c r="N178" s="414"/>
      <c r="O178" s="407"/>
    </row>
    <row r="179" spans="2:15" ht="18.75" x14ac:dyDescent="0.3">
      <c r="B179" s="540" t="s">
        <v>443</v>
      </c>
      <c r="C179" s="414"/>
      <c r="D179" s="414"/>
      <c r="E179" s="531">
        <f>-F166</f>
        <v>-10000000</v>
      </c>
      <c r="F179" s="531"/>
      <c r="G179" s="531"/>
      <c r="H179" s="546"/>
      <c r="I179" s="414"/>
      <c r="J179" s="414"/>
      <c r="K179" s="414"/>
      <c r="L179" s="414"/>
      <c r="M179" s="414"/>
      <c r="N179" s="414"/>
      <c r="O179" s="407"/>
    </row>
    <row r="180" spans="2:15" ht="18.75" x14ac:dyDescent="0.3">
      <c r="B180" s="392"/>
      <c r="C180" s="394"/>
      <c r="D180" s="394"/>
      <c r="E180" s="428">
        <f t="shared" ref="E180:N180" si="51">SUM(E175:E179)</f>
        <v>3982707.6391993351</v>
      </c>
      <c r="F180" s="428">
        <f t="shared" si="51"/>
        <v>2152962.4583519599</v>
      </c>
      <c r="G180" s="428">
        <f t="shared" si="51"/>
        <v>2096140.2058530776</v>
      </c>
      <c r="H180" s="428">
        <f t="shared" si="51"/>
        <v>2035908.6182042626</v>
      </c>
      <c r="I180" s="428">
        <f t="shared" si="51"/>
        <v>1972063.1352965182</v>
      </c>
      <c r="J180" s="428">
        <f t="shared" si="51"/>
        <v>1904386.9234143093</v>
      </c>
      <c r="K180" s="428">
        <f t="shared" si="51"/>
        <v>1832650.1388191679</v>
      </c>
      <c r="L180" s="428">
        <f t="shared" si="51"/>
        <v>1756609.1471483179</v>
      </c>
      <c r="M180" s="428">
        <f t="shared" si="51"/>
        <v>1676005.6959772168</v>
      </c>
      <c r="N180" s="428">
        <f t="shared" si="51"/>
        <v>1590566.0377358499</v>
      </c>
      <c r="O180" s="433">
        <f>SUM(E180:N180)</f>
        <v>21000000.000000015</v>
      </c>
    </row>
    <row r="181" spans="2:15" ht="18.75" x14ac:dyDescent="0.3">
      <c r="B181" s="392"/>
      <c r="C181" s="394"/>
      <c r="D181" s="394"/>
      <c r="E181" s="409"/>
      <c r="F181" s="409"/>
      <c r="G181" s="409"/>
      <c r="H181" s="427"/>
      <c r="I181" s="394"/>
      <c r="J181" s="394"/>
      <c r="K181" s="394"/>
      <c r="L181" s="394"/>
      <c r="M181" s="394"/>
      <c r="N181" s="394"/>
      <c r="O181" s="407"/>
    </row>
    <row r="182" spans="2:15" ht="18.75" x14ac:dyDescent="0.3">
      <c r="B182" s="405"/>
      <c r="C182" s="406"/>
      <c r="D182" s="406"/>
      <c r="E182" s="419" t="s">
        <v>57</v>
      </c>
      <c r="F182" s="419" t="s">
        <v>58</v>
      </c>
      <c r="G182" s="419" t="s">
        <v>59</v>
      </c>
      <c r="H182" s="419" t="s">
        <v>60</v>
      </c>
      <c r="I182" s="419" t="s">
        <v>61</v>
      </c>
      <c r="J182" s="419" t="s">
        <v>62</v>
      </c>
      <c r="K182" s="419" t="s">
        <v>63</v>
      </c>
      <c r="L182" s="419" t="s">
        <v>64</v>
      </c>
      <c r="M182" s="419" t="s">
        <v>65</v>
      </c>
      <c r="N182" s="419" t="s">
        <v>66</v>
      </c>
      <c r="O182" s="407"/>
    </row>
    <row r="183" spans="2:15" ht="19.5" thickBot="1" x14ac:dyDescent="0.35">
      <c r="B183" s="405" t="s">
        <v>329</v>
      </c>
      <c r="C183" s="394"/>
      <c r="D183" s="394"/>
      <c r="E183" s="394"/>
      <c r="F183" s="409"/>
      <c r="G183" s="409"/>
      <c r="H183" s="427"/>
      <c r="I183" s="394"/>
      <c r="J183" s="394"/>
      <c r="K183" s="394"/>
      <c r="L183" s="394"/>
      <c r="M183" s="394"/>
      <c r="N183" s="394"/>
      <c r="O183" s="407"/>
    </row>
    <row r="184" spans="2:15" ht="19.5" thickBot="1" x14ac:dyDescent="0.35">
      <c r="B184" s="547" t="s">
        <v>32</v>
      </c>
      <c r="C184" s="538"/>
      <c r="D184" s="538"/>
      <c r="E184" s="539">
        <f>+G167</f>
        <v>10000000</v>
      </c>
      <c r="F184" s="409"/>
      <c r="G184" s="409"/>
      <c r="H184" s="427"/>
      <c r="I184" s="394"/>
      <c r="J184" s="394"/>
      <c r="K184" s="394"/>
      <c r="L184" s="394"/>
      <c r="M184" s="394"/>
      <c r="N184" s="394"/>
      <c r="O184" s="407"/>
    </row>
    <row r="185" spans="2:15" ht="18.75" x14ac:dyDescent="0.3">
      <c r="B185" s="405"/>
      <c r="C185" s="394"/>
      <c r="D185" s="394"/>
      <c r="E185" s="394"/>
      <c r="F185" s="409"/>
      <c r="G185" s="409"/>
      <c r="H185" s="427"/>
      <c r="I185" s="394"/>
      <c r="J185" s="394"/>
      <c r="K185" s="394"/>
      <c r="L185" s="394"/>
      <c r="M185" s="394"/>
      <c r="N185" s="394"/>
      <c r="O185" s="407"/>
    </row>
    <row r="186" spans="2:15" ht="18.75" x14ac:dyDescent="0.3">
      <c r="B186" s="540" t="s">
        <v>247</v>
      </c>
      <c r="C186" s="414"/>
      <c r="D186" s="414"/>
      <c r="E186" s="542">
        <f>+E175</f>
        <v>3000000</v>
      </c>
      <c r="F186" s="542">
        <f t="shared" ref="F186:N186" si="52">+F175</f>
        <v>3000000</v>
      </c>
      <c r="G186" s="542">
        <f t="shared" si="52"/>
        <v>3000000</v>
      </c>
      <c r="H186" s="542">
        <f t="shared" si="52"/>
        <v>3000000</v>
      </c>
      <c r="I186" s="542">
        <f t="shared" si="52"/>
        <v>3000000</v>
      </c>
      <c r="J186" s="542">
        <f t="shared" si="52"/>
        <v>3000000</v>
      </c>
      <c r="K186" s="542">
        <f t="shared" si="52"/>
        <v>3000000</v>
      </c>
      <c r="L186" s="542">
        <f t="shared" si="52"/>
        <v>3000000</v>
      </c>
      <c r="M186" s="542">
        <f t="shared" si="52"/>
        <v>3000000</v>
      </c>
      <c r="N186" s="542">
        <f t="shared" si="52"/>
        <v>3000000</v>
      </c>
      <c r="O186" s="407"/>
    </row>
    <row r="187" spans="2:15" ht="18.75" x14ac:dyDescent="0.3">
      <c r="B187" s="540" t="s">
        <v>245</v>
      </c>
      <c r="C187" s="414"/>
      <c r="D187" s="414"/>
      <c r="E187" s="542">
        <f>+E176</f>
        <v>-1500000</v>
      </c>
      <c r="F187" s="542">
        <f t="shared" ref="F187:N187" si="53">+F176</f>
        <v>-1500000</v>
      </c>
      <c r="G187" s="542">
        <f t="shared" si="53"/>
        <v>-1500000</v>
      </c>
      <c r="H187" s="542">
        <f t="shared" si="53"/>
        <v>-1500000</v>
      </c>
      <c r="I187" s="542">
        <f t="shared" si="53"/>
        <v>-1500000</v>
      </c>
      <c r="J187" s="542">
        <f t="shared" si="53"/>
        <v>-1500000</v>
      </c>
      <c r="K187" s="542">
        <f t="shared" si="53"/>
        <v>-1500000</v>
      </c>
      <c r="L187" s="542">
        <f t="shared" si="53"/>
        <v>-1500000</v>
      </c>
      <c r="M187" s="542">
        <f t="shared" si="53"/>
        <v>-1500000</v>
      </c>
      <c r="N187" s="542">
        <f t="shared" si="53"/>
        <v>-1500000</v>
      </c>
      <c r="O187" s="407"/>
    </row>
    <row r="188" spans="2:15" ht="18.75" x14ac:dyDescent="0.3">
      <c r="B188" s="540" t="s">
        <v>472</v>
      </c>
      <c r="C188" s="414"/>
      <c r="D188" s="414"/>
      <c r="E188" s="542">
        <f>-E184/10</f>
        <v>-1000000</v>
      </c>
      <c r="F188" s="542">
        <f>+E188</f>
        <v>-1000000</v>
      </c>
      <c r="G188" s="542">
        <f t="shared" ref="G188:N188" si="54">+F188</f>
        <v>-1000000</v>
      </c>
      <c r="H188" s="542">
        <f t="shared" si="54"/>
        <v>-1000000</v>
      </c>
      <c r="I188" s="542">
        <f t="shared" si="54"/>
        <v>-1000000</v>
      </c>
      <c r="J188" s="542">
        <f t="shared" si="54"/>
        <v>-1000000</v>
      </c>
      <c r="K188" s="542">
        <f t="shared" si="54"/>
        <v>-1000000</v>
      </c>
      <c r="L188" s="542">
        <f t="shared" si="54"/>
        <v>-1000000</v>
      </c>
      <c r="M188" s="542">
        <f t="shared" si="54"/>
        <v>-1000000</v>
      </c>
      <c r="N188" s="542">
        <f t="shared" si="54"/>
        <v>-1000000</v>
      </c>
      <c r="O188" s="407"/>
    </row>
    <row r="189" spans="2:15" ht="18.75" x14ac:dyDescent="0.3">
      <c r="B189" s="540" t="s">
        <v>480</v>
      </c>
      <c r="C189" s="414"/>
      <c r="D189" s="414"/>
      <c r="E189" s="531">
        <f>+L165</f>
        <v>1600000</v>
      </c>
      <c r="F189" s="531">
        <f>+E189</f>
        <v>1600000</v>
      </c>
      <c r="G189" s="531">
        <f t="shared" ref="G189:N189" si="55">+F189</f>
        <v>1600000</v>
      </c>
      <c r="H189" s="531">
        <f t="shared" si="55"/>
        <v>1600000</v>
      </c>
      <c r="I189" s="531">
        <f t="shared" si="55"/>
        <v>1600000</v>
      </c>
      <c r="J189" s="531">
        <f t="shared" si="55"/>
        <v>1600000</v>
      </c>
      <c r="K189" s="531">
        <f t="shared" si="55"/>
        <v>1600000</v>
      </c>
      <c r="L189" s="531">
        <f t="shared" si="55"/>
        <v>1600000</v>
      </c>
      <c r="M189" s="531">
        <f t="shared" si="55"/>
        <v>1600000</v>
      </c>
      <c r="N189" s="531">
        <f t="shared" si="55"/>
        <v>1600000</v>
      </c>
      <c r="O189" s="407"/>
    </row>
    <row r="190" spans="2:15" ht="18.75" x14ac:dyDescent="0.3">
      <c r="B190" s="392"/>
      <c r="C190" s="394"/>
      <c r="D190" s="394"/>
      <c r="E190" s="428">
        <f>SUM(E186:E189)</f>
        <v>2100000</v>
      </c>
      <c r="F190" s="428">
        <f t="shared" ref="F190" si="56">SUM(F186:F189)</f>
        <v>2100000</v>
      </c>
      <c r="G190" s="428">
        <f t="shared" ref="G190" si="57">SUM(G186:G189)</f>
        <v>2100000</v>
      </c>
      <c r="H190" s="428">
        <f t="shared" ref="H190" si="58">SUM(H186:H189)</f>
        <v>2100000</v>
      </c>
      <c r="I190" s="428">
        <f t="shared" ref="I190" si="59">SUM(I186:I189)</f>
        <v>2100000</v>
      </c>
      <c r="J190" s="428">
        <f t="shared" ref="J190" si="60">SUM(J186:J189)</f>
        <v>2100000</v>
      </c>
      <c r="K190" s="428">
        <f t="shared" ref="K190" si="61">SUM(K186:K189)</f>
        <v>2100000</v>
      </c>
      <c r="L190" s="428">
        <f t="shared" ref="L190" si="62">SUM(L186:L189)</f>
        <v>2100000</v>
      </c>
      <c r="M190" s="428">
        <f t="shared" ref="M190" si="63">SUM(M186:M189)</f>
        <v>2100000</v>
      </c>
      <c r="N190" s="428">
        <f t="shared" ref="N190" si="64">SUM(N186:N189)</f>
        <v>2100000</v>
      </c>
      <c r="O190" s="433">
        <f>SUM(E190:N190)</f>
        <v>21000000</v>
      </c>
    </row>
    <row r="191" spans="2:15" ht="18.75" x14ac:dyDescent="0.3">
      <c r="B191" s="392"/>
      <c r="C191" s="394"/>
      <c r="D191" s="394"/>
      <c r="E191" s="394"/>
      <c r="F191" s="409"/>
      <c r="G191" s="409"/>
      <c r="H191" s="427"/>
      <c r="I191" s="394"/>
      <c r="J191" s="394"/>
      <c r="K191" s="394"/>
      <c r="L191" s="394"/>
      <c r="M191" s="394"/>
      <c r="N191" s="394"/>
      <c r="O191" s="407"/>
    </row>
    <row r="192" spans="2:15" ht="18.75" x14ac:dyDescent="0.3">
      <c r="B192" s="403"/>
      <c r="C192" s="396"/>
      <c r="D192" s="396"/>
      <c r="E192" s="396"/>
      <c r="F192" s="396"/>
      <c r="G192" s="396"/>
      <c r="H192" s="396"/>
      <c r="I192" s="396"/>
      <c r="J192" s="396"/>
      <c r="K192" s="396"/>
      <c r="L192" s="396"/>
      <c r="M192" s="396"/>
      <c r="N192" s="396"/>
      <c r="O192" s="397"/>
    </row>
    <row r="193" spans="2:21" ht="18.75" x14ac:dyDescent="0.3">
      <c r="B193" s="429" t="s">
        <v>481</v>
      </c>
      <c r="C193" s="430"/>
      <c r="D193" s="431"/>
      <c r="E193" s="431"/>
      <c r="F193" s="431"/>
      <c r="G193" s="431"/>
      <c r="H193" s="431"/>
      <c r="I193" s="431"/>
      <c r="J193" s="431"/>
      <c r="K193" s="431"/>
      <c r="L193" s="431"/>
      <c r="M193" s="431"/>
      <c r="N193" s="431"/>
      <c r="O193" s="432"/>
    </row>
    <row r="194" spans="2:21" ht="18.75" x14ac:dyDescent="0.3">
      <c r="B194" s="392" t="s">
        <v>465</v>
      </c>
      <c r="C194" s="393"/>
      <c r="D194" s="394"/>
      <c r="E194" s="394"/>
      <c r="F194" s="409">
        <v>10000000</v>
      </c>
      <c r="G194" s="394"/>
      <c r="H194" s="394"/>
      <c r="I194" s="394"/>
      <c r="J194" s="394"/>
      <c r="K194" s="394"/>
      <c r="L194" s="394"/>
      <c r="M194" s="394"/>
      <c r="N194" s="394"/>
      <c r="O194" s="395"/>
    </row>
    <row r="195" spans="2:21" ht="18.75" x14ac:dyDescent="0.3">
      <c r="B195" s="392" t="s">
        <v>466</v>
      </c>
      <c r="C195" s="393"/>
      <c r="D195" s="394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5"/>
    </row>
    <row r="196" spans="2:21" ht="18.75" x14ac:dyDescent="0.3">
      <c r="B196" s="392" t="s">
        <v>422</v>
      </c>
      <c r="C196" s="393"/>
      <c r="D196" s="394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5"/>
    </row>
    <row r="197" spans="2:21" ht="18.75" x14ac:dyDescent="0.3">
      <c r="B197" s="392" t="s">
        <v>563</v>
      </c>
      <c r="C197" s="393"/>
      <c r="D197" s="394"/>
      <c r="E197" s="394"/>
      <c r="F197" s="394"/>
      <c r="G197" s="394"/>
      <c r="H197" s="394"/>
      <c r="I197" s="394"/>
      <c r="J197" s="394"/>
      <c r="K197" s="394"/>
      <c r="L197" s="394"/>
      <c r="M197" s="394"/>
      <c r="N197" s="394"/>
      <c r="O197" s="395"/>
    </row>
    <row r="198" spans="2:21" ht="18.75" x14ac:dyDescent="0.3">
      <c r="B198" s="392"/>
      <c r="C198" s="393"/>
      <c r="D198" s="394"/>
      <c r="E198" s="394"/>
      <c r="F198" s="394"/>
      <c r="G198" s="394"/>
      <c r="H198" s="394"/>
      <c r="I198" s="394"/>
      <c r="J198" s="394"/>
      <c r="K198" s="394"/>
      <c r="L198" s="394"/>
      <c r="M198" s="394"/>
      <c r="N198" s="394"/>
      <c r="O198" s="395"/>
    </row>
    <row r="199" spans="2:21" ht="18.75" x14ac:dyDescent="0.3">
      <c r="B199" s="405" t="s">
        <v>416</v>
      </c>
      <c r="C199" s="393"/>
      <c r="D199" s="394"/>
      <c r="E199" s="394"/>
      <c r="F199" s="394"/>
      <c r="G199" s="394"/>
      <c r="H199" s="394"/>
      <c r="I199" s="394"/>
      <c r="J199" s="406" t="s">
        <v>564</v>
      </c>
      <c r="K199" s="394"/>
      <c r="L199" s="394"/>
      <c r="M199" s="394"/>
      <c r="N199" s="394"/>
      <c r="O199" s="395"/>
    </row>
    <row r="200" spans="2:21" ht="18.75" x14ac:dyDescent="0.3">
      <c r="B200" s="405"/>
      <c r="C200" s="406" t="s">
        <v>468</v>
      </c>
      <c r="D200" s="394"/>
      <c r="E200" s="394"/>
      <c r="F200" s="411" t="s">
        <v>37</v>
      </c>
      <c r="G200" s="411" t="s">
        <v>38</v>
      </c>
      <c r="H200" s="394"/>
      <c r="I200" s="394"/>
      <c r="J200" s="414" t="s">
        <v>475</v>
      </c>
      <c r="K200" s="414"/>
      <c r="L200" s="531">
        <v>500000</v>
      </c>
      <c r="M200" s="394"/>
      <c r="N200" s="394"/>
      <c r="O200" s="395"/>
    </row>
    <row r="201" spans="2:21" ht="18.75" x14ac:dyDescent="0.3">
      <c r="B201" s="392" t="s">
        <v>332</v>
      </c>
      <c r="C201" s="414" t="s">
        <v>443</v>
      </c>
      <c r="D201" s="414"/>
      <c r="E201" s="414"/>
      <c r="F201" s="531">
        <v>10000000</v>
      </c>
      <c r="G201" s="414"/>
      <c r="H201" s="394"/>
      <c r="I201" s="394"/>
      <c r="J201" s="414" t="s">
        <v>476</v>
      </c>
      <c r="K201" s="414"/>
      <c r="L201" s="546">
        <v>0.06</v>
      </c>
      <c r="M201" s="394"/>
      <c r="N201" s="394"/>
      <c r="O201" s="395"/>
      <c r="R201" s="548" t="s">
        <v>46</v>
      </c>
      <c r="S201" s="548" t="s">
        <v>503</v>
      </c>
      <c r="T201" s="548" t="s">
        <v>48</v>
      </c>
      <c r="U201" s="548" t="s">
        <v>49</v>
      </c>
    </row>
    <row r="202" spans="2:21" ht="18.75" x14ac:dyDescent="0.3">
      <c r="B202" s="392"/>
      <c r="C202" s="414" t="s">
        <v>469</v>
      </c>
      <c r="D202" s="414"/>
      <c r="E202" s="414"/>
      <c r="F202" s="414"/>
      <c r="G202" s="531">
        <f>+F201</f>
        <v>10000000</v>
      </c>
      <c r="H202" s="394"/>
      <c r="I202" s="394"/>
      <c r="J202" s="414" t="s">
        <v>29</v>
      </c>
      <c r="K202" s="414"/>
      <c r="L202" s="414">
        <v>10</v>
      </c>
      <c r="M202" s="394"/>
      <c r="N202" s="394"/>
      <c r="O202" s="395"/>
      <c r="Q202" s="434">
        <v>1</v>
      </c>
      <c r="R202" s="435">
        <f>+L203</f>
        <v>3680043.5257073515</v>
      </c>
      <c r="S202" s="435">
        <f>+R202*$L$166</f>
        <v>220802.6115424411</v>
      </c>
      <c r="T202" s="435">
        <f>-L200</f>
        <v>-500000</v>
      </c>
      <c r="U202" s="436">
        <f>+R202+S202+T202</f>
        <v>3400846.1372497925</v>
      </c>
    </row>
    <row r="203" spans="2:21" ht="18.75" x14ac:dyDescent="0.3">
      <c r="B203" s="392"/>
      <c r="C203" s="393"/>
      <c r="D203" s="394"/>
      <c r="E203" s="394"/>
      <c r="F203" s="394"/>
      <c r="G203" s="394"/>
      <c r="H203" s="394"/>
      <c r="I203" s="394"/>
      <c r="J203" s="414" t="s">
        <v>477</v>
      </c>
      <c r="K203" s="414"/>
      <c r="L203" s="531">
        <f>-PV(L201,L202,L200,0,0)</f>
        <v>3680043.5257073515</v>
      </c>
      <c r="M203" s="394"/>
      <c r="N203" s="394"/>
      <c r="O203" s="395"/>
      <c r="Q203" s="437">
        <f>+Q202+1</f>
        <v>2</v>
      </c>
      <c r="R203" s="438">
        <f>+U202</f>
        <v>3400846.1372497925</v>
      </c>
      <c r="S203" s="438">
        <f>+R203*$L$166</f>
        <v>204050.76823498754</v>
      </c>
      <c r="T203" s="438">
        <f>+T202</f>
        <v>-500000</v>
      </c>
      <c r="U203" s="439">
        <f>+R203+S203+T203</f>
        <v>3104896.9054847802</v>
      </c>
    </row>
    <row r="204" spans="2:21" ht="18.75" x14ac:dyDescent="0.3">
      <c r="B204" s="392"/>
      <c r="C204" s="414" t="s">
        <v>35</v>
      </c>
      <c r="D204" s="414"/>
      <c r="E204" s="414"/>
      <c r="F204" s="531">
        <f>+G206-F205</f>
        <v>7819956.474292649</v>
      </c>
      <c r="G204" s="414"/>
      <c r="H204" s="394"/>
      <c r="I204" s="394"/>
      <c r="J204" s="394"/>
      <c r="K204" s="394"/>
      <c r="L204" s="409"/>
      <c r="M204" s="394"/>
      <c r="N204" s="394"/>
      <c r="O204" s="395"/>
      <c r="Q204" s="437">
        <f t="shared" ref="Q204:Q211" si="65">+Q203+1</f>
        <v>3</v>
      </c>
      <c r="R204" s="438">
        <f t="shared" ref="R204:R211" si="66">+U203</f>
        <v>3104896.9054847802</v>
      </c>
      <c r="S204" s="438">
        <f t="shared" ref="S204:S211" si="67">+R204*$L$166</f>
        <v>186293.8143290868</v>
      </c>
      <c r="T204" s="438">
        <f t="shared" ref="T204:T211" si="68">+T203</f>
        <v>-500000</v>
      </c>
      <c r="U204" s="439">
        <f t="shared" ref="U204:U211" si="69">+R204+S204+T204</f>
        <v>2791190.719813867</v>
      </c>
    </row>
    <row r="205" spans="2:21" ht="18.75" x14ac:dyDescent="0.3">
      <c r="B205" s="392"/>
      <c r="C205" s="414" t="s">
        <v>40</v>
      </c>
      <c r="D205" s="414"/>
      <c r="E205" s="414"/>
      <c r="F205" s="531">
        <f>+L203</f>
        <v>3680043.5257073515</v>
      </c>
      <c r="G205" s="531"/>
      <c r="H205" s="394"/>
      <c r="I205" s="394"/>
      <c r="J205" s="394"/>
      <c r="K205" s="394"/>
      <c r="L205" s="394"/>
      <c r="M205" s="394"/>
      <c r="N205" s="394"/>
      <c r="O205" s="395"/>
      <c r="Q205" s="437">
        <f t="shared" si="65"/>
        <v>4</v>
      </c>
      <c r="R205" s="438">
        <f t="shared" si="66"/>
        <v>2791190.719813867</v>
      </c>
      <c r="S205" s="438">
        <f t="shared" si="67"/>
        <v>167471.44318883203</v>
      </c>
      <c r="T205" s="438">
        <f t="shared" si="68"/>
        <v>-500000</v>
      </c>
      <c r="U205" s="439">
        <f t="shared" si="69"/>
        <v>2458662.1630026991</v>
      </c>
    </row>
    <row r="206" spans="2:21" ht="18.75" x14ac:dyDescent="0.3">
      <c r="B206" s="392"/>
      <c r="C206" s="414" t="s">
        <v>470</v>
      </c>
      <c r="D206" s="414"/>
      <c r="E206" s="414"/>
      <c r="F206" s="531"/>
      <c r="G206" s="531">
        <f>+G202*(1+H206)</f>
        <v>11500000</v>
      </c>
      <c r="H206" s="427">
        <v>0.15</v>
      </c>
      <c r="I206" s="394"/>
      <c r="J206" s="394"/>
      <c r="K206" s="394"/>
      <c r="L206" s="394"/>
      <c r="M206" s="394"/>
      <c r="N206" s="394"/>
      <c r="O206" s="407"/>
      <c r="Q206" s="437">
        <f t="shared" si="65"/>
        <v>5</v>
      </c>
      <c r="R206" s="438">
        <f t="shared" si="66"/>
        <v>2458662.1630026991</v>
      </c>
      <c r="S206" s="438">
        <f t="shared" si="67"/>
        <v>147519.72978016196</v>
      </c>
      <c r="T206" s="438">
        <f t="shared" si="68"/>
        <v>-500000</v>
      </c>
      <c r="U206" s="439">
        <f t="shared" si="69"/>
        <v>2106181.8927828609</v>
      </c>
    </row>
    <row r="207" spans="2:21" ht="18.75" x14ac:dyDescent="0.3">
      <c r="B207" s="392"/>
      <c r="C207" s="394"/>
      <c r="D207" s="394"/>
      <c r="E207" s="394"/>
      <c r="F207" s="409"/>
      <c r="G207" s="409"/>
      <c r="H207" s="427"/>
      <c r="I207" s="394"/>
      <c r="J207" s="394"/>
      <c r="K207" s="394"/>
      <c r="L207" s="394"/>
      <c r="M207" s="394"/>
      <c r="N207" s="394"/>
      <c r="O207" s="407"/>
      <c r="Q207" s="437">
        <f t="shared" si="65"/>
        <v>6</v>
      </c>
      <c r="R207" s="438">
        <f t="shared" si="66"/>
        <v>2106181.8927828609</v>
      </c>
      <c r="S207" s="438">
        <f t="shared" si="67"/>
        <v>126370.91356697165</v>
      </c>
      <c r="T207" s="438">
        <f t="shared" si="68"/>
        <v>-500000</v>
      </c>
      <c r="U207" s="439">
        <f t="shared" si="69"/>
        <v>1732552.8063498326</v>
      </c>
    </row>
    <row r="208" spans="2:21" ht="18.75" x14ac:dyDescent="0.3">
      <c r="B208" s="392"/>
      <c r="C208" s="394"/>
      <c r="D208" s="394"/>
      <c r="E208" s="394"/>
      <c r="F208" s="409"/>
      <c r="G208" s="409"/>
      <c r="H208" s="427"/>
      <c r="I208" s="394"/>
      <c r="J208" s="394"/>
      <c r="K208" s="394"/>
      <c r="L208" s="394"/>
      <c r="M208" s="394"/>
      <c r="N208" s="394"/>
      <c r="O208" s="407"/>
      <c r="Q208" s="437">
        <f t="shared" si="65"/>
        <v>7</v>
      </c>
      <c r="R208" s="438">
        <f t="shared" si="66"/>
        <v>1732552.8063498326</v>
      </c>
      <c r="S208" s="438">
        <f t="shared" si="67"/>
        <v>103953.16838098996</v>
      </c>
      <c r="T208" s="438">
        <f t="shared" si="68"/>
        <v>-500000</v>
      </c>
      <c r="U208" s="439">
        <f t="shared" si="69"/>
        <v>1336505.9747308225</v>
      </c>
    </row>
    <row r="209" spans="2:21" ht="18.75" x14ac:dyDescent="0.3">
      <c r="B209" s="405"/>
      <c r="C209" s="406"/>
      <c r="D209" s="406"/>
      <c r="E209" s="419" t="s">
        <v>57</v>
      </c>
      <c r="F209" s="419" t="s">
        <v>58</v>
      </c>
      <c r="G209" s="419" t="s">
        <v>59</v>
      </c>
      <c r="H209" s="419" t="s">
        <v>60</v>
      </c>
      <c r="I209" s="419" t="s">
        <v>61</v>
      </c>
      <c r="J209" s="419" t="s">
        <v>62</v>
      </c>
      <c r="K209" s="419" t="s">
        <v>63</v>
      </c>
      <c r="L209" s="419" t="s">
        <v>64</v>
      </c>
      <c r="M209" s="419" t="s">
        <v>65</v>
      </c>
      <c r="N209" s="419" t="s">
        <v>66</v>
      </c>
      <c r="O209" s="407"/>
      <c r="Q209" s="437">
        <f t="shared" si="65"/>
        <v>8</v>
      </c>
      <c r="R209" s="438">
        <f t="shared" si="66"/>
        <v>1336505.9747308225</v>
      </c>
      <c r="S209" s="438">
        <f t="shared" si="67"/>
        <v>80190.358483849341</v>
      </c>
      <c r="T209" s="438">
        <f t="shared" si="68"/>
        <v>-500000</v>
      </c>
      <c r="U209" s="439">
        <f t="shared" si="69"/>
        <v>916696.33321467182</v>
      </c>
    </row>
    <row r="210" spans="2:21" ht="18.75" x14ac:dyDescent="0.3">
      <c r="B210" s="405" t="s">
        <v>328</v>
      </c>
      <c r="C210" s="394"/>
      <c r="D210" s="394"/>
      <c r="E210" s="394"/>
      <c r="F210" s="409"/>
      <c r="G210" s="409"/>
      <c r="H210" s="427"/>
      <c r="I210" s="394"/>
      <c r="J210" s="394"/>
      <c r="K210" s="394"/>
      <c r="L210" s="394"/>
      <c r="M210" s="394"/>
      <c r="N210" s="394"/>
      <c r="O210" s="407"/>
      <c r="Q210" s="437">
        <f t="shared" si="65"/>
        <v>9</v>
      </c>
      <c r="R210" s="438">
        <f t="shared" si="66"/>
        <v>916696.33321467182</v>
      </c>
      <c r="S210" s="438">
        <f t="shared" si="67"/>
        <v>55001.779992880307</v>
      </c>
      <c r="T210" s="438">
        <f t="shared" si="68"/>
        <v>-500000</v>
      </c>
      <c r="U210" s="439">
        <f t="shared" si="69"/>
        <v>471698.11320755212</v>
      </c>
    </row>
    <row r="211" spans="2:21" ht="18.75" x14ac:dyDescent="0.3">
      <c r="B211" s="540" t="s">
        <v>247</v>
      </c>
      <c r="C211" s="414"/>
      <c r="D211" s="414" t="s">
        <v>488</v>
      </c>
      <c r="E211" s="542">
        <v>3000000</v>
      </c>
      <c r="F211" s="542">
        <v>3000000</v>
      </c>
      <c r="G211" s="542">
        <v>3000000</v>
      </c>
      <c r="H211" s="542">
        <v>3000000</v>
      </c>
      <c r="I211" s="542">
        <v>3000000</v>
      </c>
      <c r="J211" s="542">
        <v>3000000</v>
      </c>
      <c r="K211" s="542">
        <v>3000000</v>
      </c>
      <c r="L211" s="542">
        <v>3000000</v>
      </c>
      <c r="M211" s="542">
        <v>3000000</v>
      </c>
      <c r="N211" s="542">
        <v>3000000</v>
      </c>
      <c r="O211" s="407"/>
      <c r="Q211" s="440">
        <f t="shared" si="65"/>
        <v>10</v>
      </c>
      <c r="R211" s="441">
        <f t="shared" si="66"/>
        <v>471698.11320755212</v>
      </c>
      <c r="S211" s="441">
        <f t="shared" si="67"/>
        <v>28301.886792453126</v>
      </c>
      <c r="T211" s="441">
        <f t="shared" si="68"/>
        <v>-500000</v>
      </c>
      <c r="U211" s="442">
        <f t="shared" si="69"/>
        <v>5.2386894822120667E-9</v>
      </c>
    </row>
    <row r="212" spans="2:21" ht="18.75" x14ac:dyDescent="0.3">
      <c r="B212" s="540" t="s">
        <v>245</v>
      </c>
      <c r="C212" s="414"/>
      <c r="D212" s="414"/>
      <c r="E212" s="542">
        <f>-E211*50%</f>
        <v>-1500000</v>
      </c>
      <c r="F212" s="542">
        <f t="shared" ref="F212" si="70">-F211*50%</f>
        <v>-1500000</v>
      </c>
      <c r="G212" s="542">
        <f t="shared" ref="G212" si="71">-G211*50%</f>
        <v>-1500000</v>
      </c>
      <c r="H212" s="542">
        <f t="shared" ref="H212" si="72">-H211*50%</f>
        <v>-1500000</v>
      </c>
      <c r="I212" s="542">
        <f t="shared" ref="I212" si="73">-I211*50%</f>
        <v>-1500000</v>
      </c>
      <c r="J212" s="542">
        <f t="shared" ref="J212" si="74">-J211*50%</f>
        <v>-1500000</v>
      </c>
      <c r="K212" s="542">
        <f t="shared" ref="K212" si="75">-K211*50%</f>
        <v>-1500000</v>
      </c>
      <c r="L212" s="542">
        <f t="shared" ref="L212" si="76">-L211*50%</f>
        <v>-1500000</v>
      </c>
      <c r="M212" s="542">
        <f t="shared" ref="M212" si="77">-M211*50%</f>
        <v>-1500000</v>
      </c>
      <c r="N212" s="542">
        <f t="shared" ref="N212" si="78">-N211*50%</f>
        <v>-1500000</v>
      </c>
      <c r="O212" s="407"/>
    </row>
    <row r="213" spans="2:21" ht="18.75" x14ac:dyDescent="0.3">
      <c r="B213" s="540" t="s">
        <v>487</v>
      </c>
      <c r="C213" s="414"/>
      <c r="D213" s="414"/>
      <c r="E213" s="542">
        <f>-+F204/10</f>
        <v>-781995.64742926485</v>
      </c>
      <c r="F213" s="542">
        <f>+E213</f>
        <v>-781995.64742926485</v>
      </c>
      <c r="G213" s="542">
        <f t="shared" ref="G213:N213" si="79">+F213</f>
        <v>-781995.64742926485</v>
      </c>
      <c r="H213" s="542">
        <f t="shared" si="79"/>
        <v>-781995.64742926485</v>
      </c>
      <c r="I213" s="542">
        <f t="shared" si="79"/>
        <v>-781995.64742926485</v>
      </c>
      <c r="J213" s="542">
        <f t="shared" si="79"/>
        <v>-781995.64742926485</v>
      </c>
      <c r="K213" s="542">
        <f t="shared" si="79"/>
        <v>-781995.64742926485</v>
      </c>
      <c r="L213" s="542">
        <f t="shared" si="79"/>
        <v>-781995.64742926485</v>
      </c>
      <c r="M213" s="542">
        <f t="shared" si="79"/>
        <v>-781995.64742926485</v>
      </c>
      <c r="N213" s="542">
        <f t="shared" si="79"/>
        <v>-781995.64742926485</v>
      </c>
      <c r="O213" s="407"/>
    </row>
    <row r="214" spans="2:21" ht="18.75" x14ac:dyDescent="0.3">
      <c r="B214" s="540" t="s">
        <v>448</v>
      </c>
      <c r="C214" s="414"/>
      <c r="D214" s="414"/>
      <c r="E214" s="542">
        <f>+S202</f>
        <v>220802.6115424411</v>
      </c>
      <c r="F214" s="542">
        <f>+S203</f>
        <v>204050.76823498754</v>
      </c>
      <c r="G214" s="542">
        <f>+S204</f>
        <v>186293.8143290868</v>
      </c>
      <c r="H214" s="542">
        <f>+S205</f>
        <v>167471.44318883203</v>
      </c>
      <c r="I214" s="542">
        <f>+S206</f>
        <v>147519.72978016196</v>
      </c>
      <c r="J214" s="542">
        <f>+S207</f>
        <v>126370.91356697165</v>
      </c>
      <c r="K214" s="542">
        <f>+S208</f>
        <v>103953.16838098996</v>
      </c>
      <c r="L214" s="542">
        <f>+S209</f>
        <v>80190.358483849341</v>
      </c>
      <c r="M214" s="542">
        <f>+S210</f>
        <v>55001.779992880307</v>
      </c>
      <c r="N214" s="542">
        <f>+S211</f>
        <v>28301.886792453126</v>
      </c>
      <c r="O214" s="407"/>
    </row>
    <row r="215" spans="2:21" ht="18.75" x14ac:dyDescent="0.3">
      <c r="B215" s="540" t="s">
        <v>471</v>
      </c>
      <c r="C215" s="414"/>
      <c r="D215" s="414"/>
      <c r="E215" s="531">
        <f>+G206</f>
        <v>11500000</v>
      </c>
      <c r="F215" s="394"/>
      <c r="G215" s="394"/>
      <c r="H215" s="394"/>
      <c r="I215" s="394"/>
      <c r="J215" s="394"/>
      <c r="K215" s="394"/>
      <c r="L215" s="394"/>
      <c r="M215" s="394"/>
      <c r="N215" s="394"/>
      <c r="O215" s="407"/>
    </row>
    <row r="216" spans="2:21" ht="18.75" x14ac:dyDescent="0.3">
      <c r="B216" s="540" t="s">
        <v>443</v>
      </c>
      <c r="C216" s="414"/>
      <c r="D216" s="414"/>
      <c r="E216" s="531">
        <f>-F201</f>
        <v>-10000000</v>
      </c>
      <c r="F216" s="409"/>
      <c r="G216" s="409"/>
      <c r="H216" s="427"/>
      <c r="I216" s="394"/>
      <c r="J216" s="394"/>
      <c r="K216" s="394"/>
      <c r="L216" s="394"/>
      <c r="M216" s="394"/>
      <c r="N216" s="394"/>
      <c r="O216" s="407"/>
    </row>
    <row r="217" spans="2:21" ht="18.75" x14ac:dyDescent="0.3">
      <c r="B217" s="392"/>
      <c r="C217" s="394"/>
      <c r="D217" s="394"/>
      <c r="E217" s="428">
        <f t="shared" ref="E217:N217" si="80">SUM(E211:E216)</f>
        <v>2438806.9641131759</v>
      </c>
      <c r="F217" s="428">
        <f t="shared" si="80"/>
        <v>922055.12080572266</v>
      </c>
      <c r="G217" s="428">
        <f t="shared" si="80"/>
        <v>904298.16689982195</v>
      </c>
      <c r="H217" s="428">
        <f t="shared" si="80"/>
        <v>885475.79575956718</v>
      </c>
      <c r="I217" s="428">
        <f t="shared" si="80"/>
        <v>865524.08235089714</v>
      </c>
      <c r="J217" s="428">
        <f t="shared" si="80"/>
        <v>844375.26613770681</v>
      </c>
      <c r="K217" s="428">
        <f t="shared" si="80"/>
        <v>821957.52095172508</v>
      </c>
      <c r="L217" s="428">
        <f t="shared" si="80"/>
        <v>798194.71105458448</v>
      </c>
      <c r="M217" s="428">
        <f t="shared" si="80"/>
        <v>773006.13256361545</v>
      </c>
      <c r="N217" s="428">
        <f t="shared" si="80"/>
        <v>746306.23936318827</v>
      </c>
      <c r="O217" s="433">
        <f>SUM(E217:N217)</f>
        <v>10000000.000000004</v>
      </c>
    </row>
    <row r="218" spans="2:21" ht="18.75" x14ac:dyDescent="0.3">
      <c r="B218" s="392"/>
      <c r="C218" s="394"/>
      <c r="D218" s="394"/>
      <c r="E218" s="409"/>
      <c r="F218" s="409"/>
      <c r="G218" s="409"/>
      <c r="H218" s="427"/>
      <c r="I218" s="394"/>
      <c r="J218" s="394"/>
      <c r="K218" s="394"/>
      <c r="L218" s="394"/>
      <c r="M218" s="394"/>
      <c r="N218" s="394"/>
      <c r="O218" s="407"/>
    </row>
    <row r="219" spans="2:21" ht="18.75" x14ac:dyDescent="0.3">
      <c r="B219" s="405"/>
      <c r="C219" s="406"/>
      <c r="D219" s="406"/>
      <c r="E219" s="419" t="s">
        <v>57</v>
      </c>
      <c r="F219" s="419" t="s">
        <v>58</v>
      </c>
      <c r="G219" s="419" t="s">
        <v>59</v>
      </c>
      <c r="H219" s="419" t="s">
        <v>60</v>
      </c>
      <c r="I219" s="419" t="s">
        <v>61</v>
      </c>
      <c r="J219" s="419" t="s">
        <v>62</v>
      </c>
      <c r="K219" s="419" t="s">
        <v>63</v>
      </c>
      <c r="L219" s="419" t="s">
        <v>64</v>
      </c>
      <c r="M219" s="419" t="s">
        <v>65</v>
      </c>
      <c r="N219" s="419" t="s">
        <v>66</v>
      </c>
      <c r="O219" s="407"/>
    </row>
    <row r="220" spans="2:21" ht="19.5" thickBot="1" x14ac:dyDescent="0.35">
      <c r="B220" s="405" t="s">
        <v>329</v>
      </c>
      <c r="C220" s="394"/>
      <c r="D220" s="394"/>
      <c r="E220" s="394"/>
      <c r="F220" s="409"/>
      <c r="G220" s="409"/>
      <c r="H220" s="427"/>
      <c r="I220" s="394"/>
      <c r="J220" s="394"/>
      <c r="K220" s="394"/>
      <c r="L220" s="394"/>
      <c r="M220" s="394"/>
      <c r="N220" s="394"/>
      <c r="O220" s="407"/>
    </row>
    <row r="221" spans="2:21" ht="19.5" thickBot="1" x14ac:dyDescent="0.35">
      <c r="B221" s="537" t="s">
        <v>32</v>
      </c>
      <c r="C221" s="538"/>
      <c r="D221" s="538"/>
      <c r="E221" s="539">
        <f>+G202</f>
        <v>10000000</v>
      </c>
      <c r="F221" s="409">
        <v>20</v>
      </c>
      <c r="G221" s="409"/>
      <c r="H221" s="427"/>
      <c r="I221" s="394"/>
      <c r="J221" s="394"/>
      <c r="K221" s="394"/>
      <c r="L221" s="394"/>
      <c r="M221" s="394"/>
      <c r="N221" s="394"/>
      <c r="O221" s="407"/>
    </row>
    <row r="222" spans="2:21" ht="18.75" x14ac:dyDescent="0.3">
      <c r="B222" s="405"/>
      <c r="C222" s="394"/>
      <c r="D222" s="394"/>
      <c r="E222" s="394"/>
      <c r="F222" s="409"/>
      <c r="G222" s="409"/>
      <c r="H222" s="427"/>
      <c r="I222" s="394"/>
      <c r="J222" s="394"/>
      <c r="K222" s="394"/>
      <c r="L222" s="394"/>
      <c r="M222" s="394"/>
      <c r="N222" s="394"/>
      <c r="O222" s="407"/>
    </row>
    <row r="223" spans="2:21" ht="18.75" x14ac:dyDescent="0.3">
      <c r="B223" s="540" t="s">
        <v>247</v>
      </c>
      <c r="C223" s="414"/>
      <c r="D223" s="414"/>
      <c r="E223" s="542">
        <f>+E211</f>
        <v>3000000</v>
      </c>
      <c r="F223" s="542">
        <f t="shared" ref="F223:N223" si="81">+F211</f>
        <v>3000000</v>
      </c>
      <c r="G223" s="542">
        <f t="shared" si="81"/>
        <v>3000000</v>
      </c>
      <c r="H223" s="542">
        <f t="shared" si="81"/>
        <v>3000000</v>
      </c>
      <c r="I223" s="542">
        <f t="shared" si="81"/>
        <v>3000000</v>
      </c>
      <c r="J223" s="542">
        <f t="shared" si="81"/>
        <v>3000000</v>
      </c>
      <c r="K223" s="542">
        <f t="shared" si="81"/>
        <v>3000000</v>
      </c>
      <c r="L223" s="542">
        <f t="shared" si="81"/>
        <v>3000000</v>
      </c>
      <c r="M223" s="542">
        <f t="shared" si="81"/>
        <v>3000000</v>
      </c>
      <c r="N223" s="542">
        <f t="shared" si="81"/>
        <v>3000000</v>
      </c>
      <c r="O223" s="407"/>
    </row>
    <row r="224" spans="2:21" ht="18.75" x14ac:dyDescent="0.3">
      <c r="B224" s="540" t="s">
        <v>245</v>
      </c>
      <c r="C224" s="414"/>
      <c r="D224" s="414"/>
      <c r="E224" s="542">
        <f>+E212</f>
        <v>-1500000</v>
      </c>
      <c r="F224" s="542">
        <f t="shared" ref="F224:N224" si="82">+F212</f>
        <v>-1500000</v>
      </c>
      <c r="G224" s="542">
        <f t="shared" si="82"/>
        <v>-1500000</v>
      </c>
      <c r="H224" s="542">
        <f t="shared" si="82"/>
        <v>-1500000</v>
      </c>
      <c r="I224" s="542">
        <f t="shared" si="82"/>
        <v>-1500000</v>
      </c>
      <c r="J224" s="542">
        <f t="shared" si="82"/>
        <v>-1500000</v>
      </c>
      <c r="K224" s="542">
        <f t="shared" si="82"/>
        <v>-1500000</v>
      </c>
      <c r="L224" s="542">
        <f t="shared" si="82"/>
        <v>-1500000</v>
      </c>
      <c r="M224" s="542">
        <f t="shared" si="82"/>
        <v>-1500000</v>
      </c>
      <c r="N224" s="542">
        <f t="shared" si="82"/>
        <v>-1500000</v>
      </c>
      <c r="O224" s="407"/>
    </row>
    <row r="225" spans="2:15" ht="18.75" x14ac:dyDescent="0.3">
      <c r="B225" s="540" t="s">
        <v>472</v>
      </c>
      <c r="C225" s="414"/>
      <c r="D225" s="414"/>
      <c r="E225" s="531">
        <f>-E221/10</f>
        <v>-1000000</v>
      </c>
      <c r="F225" s="542">
        <f>+E225</f>
        <v>-1000000</v>
      </c>
      <c r="G225" s="542">
        <f t="shared" ref="G225:N225" si="83">+F225</f>
        <v>-1000000</v>
      </c>
      <c r="H225" s="542">
        <f t="shared" si="83"/>
        <v>-1000000</v>
      </c>
      <c r="I225" s="542">
        <f t="shared" si="83"/>
        <v>-1000000</v>
      </c>
      <c r="J225" s="542">
        <f t="shared" si="83"/>
        <v>-1000000</v>
      </c>
      <c r="K225" s="542">
        <f t="shared" si="83"/>
        <v>-1000000</v>
      </c>
      <c r="L225" s="542">
        <f t="shared" si="83"/>
        <v>-1000000</v>
      </c>
      <c r="M225" s="542">
        <f t="shared" si="83"/>
        <v>-1000000</v>
      </c>
      <c r="N225" s="542">
        <f t="shared" si="83"/>
        <v>-1000000</v>
      </c>
      <c r="O225" s="407"/>
    </row>
    <row r="226" spans="2:15" ht="18.75" x14ac:dyDescent="0.3">
      <c r="B226" s="540" t="s">
        <v>480</v>
      </c>
      <c r="C226" s="414"/>
      <c r="D226" s="414"/>
      <c r="E226" s="531">
        <f>+L200</f>
        <v>500000</v>
      </c>
      <c r="F226" s="531">
        <f>+E226</f>
        <v>500000</v>
      </c>
      <c r="G226" s="531">
        <f t="shared" ref="G226:N226" si="84">+F226</f>
        <v>500000</v>
      </c>
      <c r="H226" s="531">
        <f t="shared" si="84"/>
        <v>500000</v>
      </c>
      <c r="I226" s="531">
        <f t="shared" si="84"/>
        <v>500000</v>
      </c>
      <c r="J226" s="531">
        <f t="shared" si="84"/>
        <v>500000</v>
      </c>
      <c r="K226" s="531">
        <f t="shared" si="84"/>
        <v>500000</v>
      </c>
      <c r="L226" s="531">
        <f t="shared" si="84"/>
        <v>500000</v>
      </c>
      <c r="M226" s="531">
        <f t="shared" si="84"/>
        <v>500000</v>
      </c>
      <c r="N226" s="531">
        <f t="shared" si="84"/>
        <v>500000</v>
      </c>
      <c r="O226" s="407"/>
    </row>
    <row r="227" spans="2:15" ht="18.75" x14ac:dyDescent="0.3">
      <c r="B227" s="392"/>
      <c r="C227" s="394"/>
      <c r="D227" s="394"/>
      <c r="E227" s="428">
        <f>SUM(E223:E226)</f>
        <v>1000000</v>
      </c>
      <c r="F227" s="428">
        <f t="shared" ref="F227" si="85">SUM(F223:F226)</f>
        <v>1000000</v>
      </c>
      <c r="G227" s="428">
        <f t="shared" ref="G227" si="86">SUM(G223:G226)</f>
        <v>1000000</v>
      </c>
      <c r="H227" s="428">
        <f t="shared" ref="H227" si="87">SUM(H223:H226)</f>
        <v>1000000</v>
      </c>
      <c r="I227" s="428">
        <f t="shared" ref="I227" si="88">SUM(I223:I226)</f>
        <v>1000000</v>
      </c>
      <c r="J227" s="428">
        <f t="shared" ref="J227" si="89">SUM(J223:J226)</f>
        <v>1000000</v>
      </c>
      <c r="K227" s="428">
        <f t="shared" ref="K227" si="90">SUM(K223:K226)</f>
        <v>1000000</v>
      </c>
      <c r="L227" s="428">
        <f t="shared" ref="L227" si="91">SUM(L223:L226)</f>
        <v>1000000</v>
      </c>
      <c r="M227" s="428">
        <f t="shared" ref="M227" si="92">SUM(M223:M226)</f>
        <v>1000000</v>
      </c>
      <c r="N227" s="428">
        <f t="shared" ref="N227" si="93">SUM(N223:N226)</f>
        <v>1000000</v>
      </c>
      <c r="O227" s="433">
        <f>SUM(E227:N227)</f>
        <v>10000000</v>
      </c>
    </row>
    <row r="228" spans="2:15" ht="18.75" x14ac:dyDescent="0.3">
      <c r="B228" s="392"/>
      <c r="C228" s="394"/>
      <c r="D228" s="394"/>
      <c r="E228" s="394"/>
      <c r="F228" s="409"/>
      <c r="G228" s="409"/>
      <c r="H228" s="427"/>
      <c r="I228" s="394"/>
      <c r="J228" s="394"/>
      <c r="K228" s="394"/>
      <c r="L228" s="394"/>
      <c r="M228" s="394"/>
      <c r="N228" s="394"/>
      <c r="O228" s="407"/>
    </row>
    <row r="229" spans="2:15" ht="18.75" x14ac:dyDescent="0.3">
      <c r="B229" s="403"/>
      <c r="C229" s="396"/>
      <c r="D229" s="396"/>
      <c r="E229" s="396"/>
      <c r="F229" s="396"/>
      <c r="G229" s="396"/>
      <c r="H229" s="396"/>
      <c r="I229" s="396"/>
      <c r="J229" s="396"/>
      <c r="K229" s="396"/>
      <c r="L229" s="396"/>
      <c r="M229" s="396"/>
      <c r="N229" s="396"/>
      <c r="O229" s="397"/>
    </row>
    <row r="231" spans="2:15" ht="18.75" x14ac:dyDescent="0.3">
      <c r="B231" s="416" t="s">
        <v>489</v>
      </c>
      <c r="C231" s="417"/>
      <c r="D231" s="417"/>
      <c r="E231" s="417"/>
      <c r="F231" s="417"/>
      <c r="G231" s="417"/>
      <c r="H231" s="417"/>
      <c r="I231" s="417"/>
      <c r="J231" s="417"/>
      <c r="K231" s="417"/>
      <c r="L231" s="417"/>
      <c r="M231" s="417"/>
      <c r="N231" s="417"/>
      <c r="O231" s="418"/>
    </row>
    <row r="232" spans="2:15" ht="18.75" x14ac:dyDescent="0.3">
      <c r="B232" s="392" t="s">
        <v>490</v>
      </c>
      <c r="C232" s="393"/>
      <c r="D232" s="394"/>
      <c r="E232" s="394"/>
      <c r="F232" s="394"/>
      <c r="G232" s="394"/>
      <c r="H232" s="394"/>
      <c r="I232" s="394"/>
      <c r="J232" s="394"/>
      <c r="K232" s="394"/>
      <c r="L232" s="394"/>
      <c r="M232" s="394"/>
      <c r="N232" s="394"/>
      <c r="O232" s="395"/>
    </row>
    <row r="233" spans="2:15" ht="18.75" x14ac:dyDescent="0.3">
      <c r="B233" s="392" t="s">
        <v>491</v>
      </c>
      <c r="C233" s="393"/>
      <c r="D233" s="394"/>
      <c r="E233" s="394"/>
      <c r="F233" s="394"/>
      <c r="G233" s="394"/>
      <c r="H233" s="394"/>
      <c r="I233" s="394"/>
      <c r="J233" s="394"/>
      <c r="K233" s="394"/>
      <c r="L233" s="394"/>
      <c r="M233" s="394"/>
      <c r="N233" s="394"/>
      <c r="O233" s="395"/>
    </row>
    <row r="234" spans="2:15" ht="18.75" x14ac:dyDescent="0.3">
      <c r="B234" s="392" t="s">
        <v>492</v>
      </c>
      <c r="C234" s="393"/>
      <c r="D234" s="394"/>
      <c r="E234" s="394"/>
      <c r="F234" s="394"/>
      <c r="G234" s="394"/>
      <c r="H234" s="394"/>
      <c r="I234" s="394"/>
      <c r="J234" s="394"/>
      <c r="K234" s="394"/>
      <c r="L234" s="394"/>
      <c r="M234" s="394"/>
      <c r="N234" s="394"/>
      <c r="O234" s="395"/>
    </row>
    <row r="235" spans="2:15" ht="18.75" x14ac:dyDescent="0.3">
      <c r="B235" s="392" t="s">
        <v>493</v>
      </c>
      <c r="C235" s="393"/>
      <c r="D235" s="394"/>
      <c r="E235" s="394"/>
      <c r="F235" s="394"/>
      <c r="G235" s="394"/>
      <c r="H235" s="394"/>
      <c r="I235" s="394"/>
      <c r="J235" s="394"/>
      <c r="K235" s="394"/>
      <c r="L235" s="394"/>
      <c r="M235" s="394"/>
      <c r="N235" s="394"/>
      <c r="O235" s="395"/>
    </row>
    <row r="236" spans="2:15" ht="18.75" x14ac:dyDescent="0.3">
      <c r="B236" s="392" t="s">
        <v>494</v>
      </c>
      <c r="C236" s="393"/>
      <c r="D236" s="394"/>
      <c r="E236" s="394"/>
      <c r="F236" s="394"/>
      <c r="G236" s="394"/>
      <c r="H236" s="394"/>
      <c r="I236" s="394"/>
      <c r="J236" s="394"/>
      <c r="K236" s="394"/>
      <c r="L236" s="394"/>
      <c r="M236" s="394"/>
      <c r="N236" s="394"/>
      <c r="O236" s="395"/>
    </row>
    <row r="237" spans="2:15" ht="18.75" x14ac:dyDescent="0.3">
      <c r="B237" s="392"/>
      <c r="C237" s="393"/>
      <c r="D237" s="394"/>
      <c r="E237" s="394"/>
      <c r="F237" s="394"/>
      <c r="G237" s="394"/>
      <c r="H237" s="394"/>
      <c r="I237" s="394"/>
      <c r="J237" s="394"/>
      <c r="K237" s="394"/>
      <c r="L237" s="394"/>
      <c r="M237" s="394"/>
      <c r="N237" s="394"/>
      <c r="O237" s="395"/>
    </row>
    <row r="238" spans="2:15" ht="18.75" x14ac:dyDescent="0.3">
      <c r="B238" s="412" t="s">
        <v>495</v>
      </c>
      <c r="C238" s="413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4"/>
      <c r="O238" s="415"/>
    </row>
    <row r="239" spans="2:15" ht="18.75" x14ac:dyDescent="0.3">
      <c r="B239" s="392" t="s">
        <v>420</v>
      </c>
      <c r="C239" s="393"/>
      <c r="D239" s="394"/>
      <c r="E239" s="394"/>
      <c r="F239" s="394"/>
      <c r="G239" s="394"/>
      <c r="H239" s="394"/>
      <c r="I239" s="394"/>
      <c r="J239" s="394"/>
      <c r="K239" s="394"/>
      <c r="L239" s="394"/>
      <c r="M239" s="394"/>
      <c r="N239" s="394"/>
      <c r="O239" s="395"/>
    </row>
    <row r="240" spans="2:15" ht="18.75" x14ac:dyDescent="0.3">
      <c r="B240" s="392" t="s">
        <v>496</v>
      </c>
      <c r="C240" s="393"/>
      <c r="D240" s="394"/>
      <c r="E240" s="394"/>
      <c r="F240" s="394"/>
      <c r="G240" s="394"/>
      <c r="H240" s="394"/>
      <c r="I240" s="394"/>
      <c r="J240" s="394"/>
      <c r="K240" s="394"/>
      <c r="L240" s="394"/>
      <c r="M240" s="394"/>
      <c r="N240" s="394"/>
      <c r="O240" s="395"/>
    </row>
    <row r="241" spans="1:15" ht="18.75" x14ac:dyDescent="0.3">
      <c r="B241" s="392" t="s">
        <v>422</v>
      </c>
      <c r="C241" s="393"/>
      <c r="D241" s="394"/>
      <c r="E241" s="394"/>
      <c r="F241" s="394"/>
      <c r="G241" s="394"/>
      <c r="H241" s="394"/>
      <c r="I241" s="394"/>
      <c r="J241" s="394"/>
      <c r="K241" s="394"/>
      <c r="L241" s="394"/>
      <c r="M241" s="394"/>
      <c r="N241" s="394"/>
      <c r="O241" s="395"/>
    </row>
    <row r="242" spans="1:15" ht="18.75" x14ac:dyDescent="0.3">
      <c r="B242" s="392" t="s">
        <v>423</v>
      </c>
      <c r="C242" s="393"/>
      <c r="D242" s="394"/>
      <c r="E242" s="394"/>
      <c r="F242" s="394"/>
      <c r="G242" s="394"/>
      <c r="H242" s="394"/>
      <c r="I242" s="394"/>
      <c r="J242" s="394"/>
      <c r="K242" s="394"/>
      <c r="L242" s="394"/>
      <c r="M242" s="394"/>
      <c r="N242" s="394"/>
      <c r="O242" s="395"/>
    </row>
    <row r="243" spans="1:15" ht="18.75" x14ac:dyDescent="0.3">
      <c r="B243" s="392" t="s">
        <v>424</v>
      </c>
      <c r="C243" s="393"/>
      <c r="D243" s="394"/>
      <c r="E243" s="394"/>
      <c r="F243" s="394"/>
      <c r="G243" s="394"/>
      <c r="H243" s="394"/>
      <c r="I243" s="394"/>
      <c r="J243" s="394"/>
      <c r="K243" s="394"/>
      <c r="L243" s="394"/>
      <c r="M243" s="394"/>
      <c r="N243" s="394"/>
      <c r="O243" s="395"/>
    </row>
    <row r="244" spans="1:15" ht="18.75" x14ac:dyDescent="0.3">
      <c r="B244" s="392" t="s">
        <v>581</v>
      </c>
      <c r="C244" s="393"/>
      <c r="D244" s="394"/>
      <c r="E244" s="394"/>
      <c r="F244" s="394"/>
      <c r="G244" s="394"/>
      <c r="H244" s="394"/>
      <c r="I244" s="394"/>
      <c r="J244" s="394"/>
      <c r="K244" s="394"/>
      <c r="L244" s="394"/>
      <c r="M244" s="394"/>
      <c r="N244" s="394"/>
      <c r="O244" s="395"/>
    </row>
    <row r="245" spans="1:15" ht="18.75" x14ac:dyDescent="0.3">
      <c r="B245" s="405" t="s">
        <v>582</v>
      </c>
      <c r="C245" s="393"/>
      <c r="D245" s="394"/>
      <c r="E245" s="394"/>
      <c r="F245" s="406"/>
      <c r="G245" s="394"/>
      <c r="H245" s="394"/>
      <c r="I245" s="394"/>
      <c r="J245" s="394"/>
      <c r="K245" s="394"/>
      <c r="L245" s="394"/>
      <c r="M245" s="394"/>
      <c r="N245" s="394"/>
      <c r="O245" s="395"/>
    </row>
    <row r="246" spans="1:15" ht="18.75" x14ac:dyDescent="0.3">
      <c r="B246" s="392"/>
      <c r="C246" s="393"/>
      <c r="D246" s="394"/>
      <c r="E246" s="394"/>
      <c r="F246" s="394"/>
      <c r="G246" s="394"/>
      <c r="H246" s="394"/>
      <c r="I246" s="394"/>
      <c r="J246" s="394"/>
      <c r="K246" s="394"/>
      <c r="L246" s="394"/>
      <c r="M246" s="394"/>
      <c r="N246" s="394"/>
      <c r="O246" s="395"/>
    </row>
    <row r="247" spans="1:15" ht="18.75" x14ac:dyDescent="0.3">
      <c r="B247" s="392"/>
      <c r="C247" s="393"/>
      <c r="D247" s="394"/>
      <c r="E247" s="394"/>
      <c r="F247" s="394"/>
      <c r="G247" s="394"/>
      <c r="H247" s="394"/>
      <c r="I247" s="394"/>
      <c r="J247" s="394"/>
      <c r="K247" s="394"/>
      <c r="L247" s="394"/>
      <c r="M247" s="394"/>
      <c r="N247" s="394"/>
      <c r="O247" s="395"/>
    </row>
    <row r="248" spans="1:15" ht="18.75" x14ac:dyDescent="0.3">
      <c r="A248" s="390"/>
      <c r="B248" s="405"/>
      <c r="C248" s="411" t="s">
        <v>57</v>
      </c>
      <c r="D248" s="411" t="s">
        <v>58</v>
      </c>
      <c r="E248" s="411" t="s">
        <v>59</v>
      </c>
      <c r="F248" s="411" t="s">
        <v>60</v>
      </c>
      <c r="G248" s="411" t="s">
        <v>61</v>
      </c>
      <c r="H248" s="411" t="s">
        <v>62</v>
      </c>
      <c r="I248" s="411" t="s">
        <v>63</v>
      </c>
      <c r="J248" s="411" t="s">
        <v>64</v>
      </c>
      <c r="K248" s="411" t="s">
        <v>65</v>
      </c>
      <c r="L248" s="411" t="s">
        <v>66</v>
      </c>
      <c r="M248" s="411" t="s">
        <v>497</v>
      </c>
      <c r="N248" s="411" t="s">
        <v>498</v>
      </c>
      <c r="O248" s="395"/>
    </row>
    <row r="249" spans="1:15" ht="18.75" x14ac:dyDescent="0.3">
      <c r="B249" s="588" t="s">
        <v>499</v>
      </c>
      <c r="C249" s="589"/>
      <c r="D249" s="502"/>
      <c r="E249" s="504">
        <v>1000000</v>
      </c>
      <c r="F249" s="394"/>
      <c r="G249" s="394"/>
      <c r="H249" s="409">
        <v>1200000</v>
      </c>
      <c r="I249" s="394"/>
      <c r="J249" s="394"/>
      <c r="K249" s="409">
        <v>1300000</v>
      </c>
      <c r="L249" s="394"/>
      <c r="M249" s="394"/>
      <c r="N249" s="409">
        <v>1500000</v>
      </c>
      <c r="O249" s="395"/>
    </row>
    <row r="250" spans="1:15" ht="18.75" x14ac:dyDescent="0.3">
      <c r="B250" s="588" t="s">
        <v>146</v>
      </c>
      <c r="C250" s="589"/>
      <c r="D250" s="502"/>
      <c r="E250" s="590">
        <v>0.03</v>
      </c>
      <c r="F250" s="411"/>
      <c r="G250" s="411"/>
      <c r="H250" s="444">
        <v>3.2000000000000001E-2</v>
      </c>
      <c r="I250" s="394"/>
      <c r="J250" s="394"/>
      <c r="K250" s="444">
        <v>3.5000000000000003E-2</v>
      </c>
      <c r="L250" s="394"/>
      <c r="M250" s="394"/>
      <c r="N250" s="444">
        <v>0.04</v>
      </c>
      <c r="O250" s="395"/>
    </row>
    <row r="251" spans="1:15" ht="18.75" x14ac:dyDescent="0.3">
      <c r="B251" s="588" t="s">
        <v>477</v>
      </c>
      <c r="C251" s="502"/>
      <c r="D251" s="502"/>
      <c r="E251" s="504">
        <f>E249/(1+E250)^3</f>
        <v>915141.6593531596</v>
      </c>
      <c r="F251" s="409"/>
      <c r="G251" s="394"/>
      <c r="H251" s="409">
        <f>H249/(1+H250)^3</f>
        <v>1091797.6474468356</v>
      </c>
      <c r="I251" s="394"/>
      <c r="J251" s="394"/>
      <c r="K251" s="409">
        <f>K249/(1+K250)^3</f>
        <v>1172525.5173684291</v>
      </c>
      <c r="L251" s="394"/>
      <c r="M251" s="394"/>
      <c r="N251" s="409">
        <f>N249/(1+N250)^3</f>
        <v>1333494.5380063723</v>
      </c>
      <c r="O251" s="395"/>
    </row>
    <row r="252" spans="1:15" ht="18.75" x14ac:dyDescent="0.3">
      <c r="B252" s="392"/>
      <c r="C252" s="394"/>
      <c r="D252" s="394"/>
      <c r="E252" s="394"/>
      <c r="F252" s="394"/>
      <c r="G252" s="409"/>
      <c r="H252" s="394"/>
      <c r="I252" s="394"/>
      <c r="J252" s="394"/>
      <c r="K252" s="394"/>
      <c r="L252" s="394"/>
      <c r="M252" s="394"/>
      <c r="N252" s="394"/>
      <c r="O252" s="395"/>
    </row>
    <row r="253" spans="1:15" ht="18.75" x14ac:dyDescent="0.3">
      <c r="B253" s="405" t="s">
        <v>500</v>
      </c>
      <c r="C253" s="393"/>
      <c r="D253" s="394"/>
      <c r="E253" s="411" t="s">
        <v>37</v>
      </c>
      <c r="F253" s="411" t="s">
        <v>38</v>
      </c>
      <c r="G253" s="394"/>
      <c r="H253" s="394"/>
      <c r="I253" s="394"/>
      <c r="J253" s="394"/>
      <c r="K253" s="394"/>
      <c r="L253" s="394"/>
      <c r="M253" s="394"/>
      <c r="N253" s="394"/>
      <c r="O253" s="395"/>
    </row>
    <row r="254" spans="1:15" ht="18.75" x14ac:dyDescent="0.3">
      <c r="B254" s="591" t="s">
        <v>583</v>
      </c>
      <c r="C254" s="502" t="s">
        <v>501</v>
      </c>
      <c r="D254" s="502"/>
      <c r="E254" s="504">
        <f>+E251</f>
        <v>915141.6593531596</v>
      </c>
      <c r="F254" s="502"/>
      <c r="G254" s="394"/>
      <c r="H254" s="479" t="s">
        <v>502</v>
      </c>
      <c r="I254" s="394"/>
      <c r="J254" s="394"/>
      <c r="K254" s="394"/>
      <c r="L254" s="394"/>
      <c r="M254" s="394"/>
      <c r="N254" s="394"/>
      <c r="O254" s="395"/>
    </row>
    <row r="255" spans="1:15" ht="18.75" x14ac:dyDescent="0.3">
      <c r="B255" s="392"/>
      <c r="C255" s="502" t="s">
        <v>50</v>
      </c>
      <c r="D255" s="502"/>
      <c r="E255" s="502"/>
      <c r="F255" s="504">
        <f>+E254</f>
        <v>915141.6593531596</v>
      </c>
      <c r="G255" s="394"/>
      <c r="H255" s="479" t="s">
        <v>584</v>
      </c>
      <c r="I255" s="394"/>
      <c r="J255" s="394"/>
      <c r="K255" s="394"/>
      <c r="L255" s="394"/>
      <c r="M255" s="394"/>
      <c r="N255" s="394"/>
      <c r="O255" s="395"/>
    </row>
    <row r="256" spans="1:15" ht="19.5" thickBot="1" x14ac:dyDescent="0.35">
      <c r="B256" s="392"/>
      <c r="C256" s="393"/>
      <c r="D256" s="394"/>
      <c r="E256" s="394"/>
      <c r="F256" s="394"/>
      <c r="G256" s="394"/>
      <c r="H256" s="394"/>
      <c r="I256" s="394"/>
      <c r="J256" s="394"/>
      <c r="K256" s="394"/>
      <c r="L256" s="394"/>
      <c r="M256" s="394"/>
      <c r="N256" s="394"/>
      <c r="O256" s="395"/>
    </row>
    <row r="257" spans="2:15" ht="18.75" x14ac:dyDescent="0.3">
      <c r="B257" s="392"/>
      <c r="C257" s="411" t="s">
        <v>46</v>
      </c>
      <c r="D257" s="411" t="s">
        <v>503</v>
      </c>
      <c r="E257" s="411" t="s">
        <v>302</v>
      </c>
      <c r="F257" s="411" t="s">
        <v>49</v>
      </c>
      <c r="G257" s="394"/>
      <c r="H257" s="604" t="s">
        <v>586</v>
      </c>
      <c r="I257" s="592" t="s">
        <v>57</v>
      </c>
      <c r="J257" s="592" t="s">
        <v>58</v>
      </c>
      <c r="K257" s="592" t="s">
        <v>59</v>
      </c>
      <c r="L257" s="593"/>
      <c r="M257" s="394"/>
      <c r="N257" s="394"/>
      <c r="O257" s="395"/>
    </row>
    <row r="258" spans="2:15" ht="18.75" x14ac:dyDescent="0.3">
      <c r="B258" s="392">
        <v>1</v>
      </c>
      <c r="C258" s="445">
        <f>+F255</f>
        <v>915141.6593531596</v>
      </c>
      <c r="D258" s="445">
        <f>+C258*$E$250</f>
        <v>27454.249780594786</v>
      </c>
      <c r="E258" s="445">
        <v>0</v>
      </c>
      <c r="F258" s="445">
        <f>+C258+D258+E258</f>
        <v>942595.90913375444</v>
      </c>
      <c r="G258" s="394"/>
      <c r="H258" s="594" t="s">
        <v>585</v>
      </c>
      <c r="I258" s="595">
        <v>0</v>
      </c>
      <c r="J258" s="595">
        <v>0</v>
      </c>
      <c r="K258" s="596">
        <f>-E249</f>
        <v>-1000000</v>
      </c>
      <c r="L258" s="597">
        <f>SUM(I258:K258)</f>
        <v>-1000000</v>
      </c>
      <c r="M258" s="394"/>
      <c r="N258" s="394"/>
      <c r="O258" s="395"/>
    </row>
    <row r="259" spans="2:15" ht="18.75" x14ac:dyDescent="0.3">
      <c r="B259" s="392">
        <f>+B258+1</f>
        <v>2</v>
      </c>
      <c r="C259" s="445">
        <f>+F258</f>
        <v>942595.90913375444</v>
      </c>
      <c r="D259" s="445">
        <f>+C259*$E$250</f>
        <v>28277.877274012633</v>
      </c>
      <c r="E259" s="445">
        <v>0</v>
      </c>
      <c r="F259" s="445">
        <f>+C259+D259+E259</f>
        <v>970873.7864077671</v>
      </c>
      <c r="G259" s="394"/>
      <c r="H259" s="594"/>
      <c r="I259" s="449"/>
      <c r="J259" s="449"/>
      <c r="K259" s="449"/>
      <c r="L259" s="598"/>
      <c r="M259" s="394"/>
      <c r="N259" s="394"/>
      <c r="O259" s="395"/>
    </row>
    <row r="260" spans="2:15" ht="18.75" x14ac:dyDescent="0.3">
      <c r="B260" s="392">
        <f>+B259+1</f>
        <v>3</v>
      </c>
      <c r="C260" s="445">
        <f>+F259</f>
        <v>970873.7864077671</v>
      </c>
      <c r="D260" s="445">
        <f>+C260*$E$250</f>
        <v>29126.213592233013</v>
      </c>
      <c r="E260" s="445">
        <f>-E249</f>
        <v>-1000000</v>
      </c>
      <c r="F260" s="445">
        <f>+C260+D260+E260</f>
        <v>0</v>
      </c>
      <c r="G260" s="394"/>
      <c r="H260" s="605" t="s">
        <v>587</v>
      </c>
      <c r="I260" s="599" t="s">
        <v>57</v>
      </c>
      <c r="J260" s="599" t="s">
        <v>58</v>
      </c>
      <c r="K260" s="599" t="s">
        <v>59</v>
      </c>
      <c r="L260" s="598"/>
      <c r="M260" s="394"/>
      <c r="N260" s="394"/>
      <c r="O260" s="395"/>
    </row>
    <row r="261" spans="2:15" ht="18.75" x14ac:dyDescent="0.3">
      <c r="B261" s="392"/>
      <c r="C261" s="394"/>
      <c r="D261" s="394"/>
      <c r="E261" s="394"/>
      <c r="F261" s="394"/>
      <c r="G261" s="394"/>
      <c r="H261" s="594" t="s">
        <v>588</v>
      </c>
      <c r="I261" s="600">
        <f>-D258</f>
        <v>-27454.249780594786</v>
      </c>
      <c r="J261" s="600">
        <f>-D259</f>
        <v>-28277.877274012633</v>
      </c>
      <c r="K261" s="600">
        <f>-D260</f>
        <v>-29126.213592233013</v>
      </c>
      <c r="L261" s="598"/>
      <c r="M261" s="394"/>
      <c r="N261" s="394"/>
      <c r="O261" s="395"/>
    </row>
    <row r="262" spans="2:15" ht="18.75" x14ac:dyDescent="0.3">
      <c r="B262" s="392"/>
      <c r="C262" s="393" t="s">
        <v>57</v>
      </c>
      <c r="D262" s="394"/>
      <c r="E262" s="411" t="s">
        <v>37</v>
      </c>
      <c r="F262" s="411" t="s">
        <v>38</v>
      </c>
      <c r="G262" s="394"/>
      <c r="H262" s="594" t="s">
        <v>589</v>
      </c>
      <c r="I262" s="600">
        <f>-E254/3</f>
        <v>-305047.21978438651</v>
      </c>
      <c r="J262" s="600">
        <f>+I262</f>
        <v>-305047.21978438651</v>
      </c>
      <c r="K262" s="600">
        <f>+J262</f>
        <v>-305047.21978438651</v>
      </c>
      <c r="L262" s="598"/>
      <c r="M262" s="394"/>
      <c r="N262" s="394"/>
      <c r="O262" s="395"/>
    </row>
    <row r="263" spans="2:15" ht="19.5" thickBot="1" x14ac:dyDescent="0.35">
      <c r="B263" s="392"/>
      <c r="C263" s="394" t="s">
        <v>504</v>
      </c>
      <c r="D263" s="394"/>
      <c r="E263" s="409">
        <f>+D258</f>
        <v>27454.249780594786</v>
      </c>
      <c r="F263" s="394"/>
      <c r="G263" s="394"/>
      <c r="H263" s="601"/>
      <c r="I263" s="602">
        <f>SUM(I261:I262)</f>
        <v>-332501.46956498129</v>
      </c>
      <c r="J263" s="602">
        <f>SUM(J261:J262)</f>
        <v>-333325.09705839917</v>
      </c>
      <c r="K263" s="602">
        <f>SUM(K261:K262)</f>
        <v>-334173.43337661953</v>
      </c>
      <c r="L263" s="603">
        <f>SUM(I263:K263)</f>
        <v>-1000000</v>
      </c>
      <c r="M263" s="394"/>
      <c r="N263" s="394"/>
      <c r="O263" s="395"/>
    </row>
    <row r="264" spans="2:15" ht="18.75" x14ac:dyDescent="0.3">
      <c r="B264" s="392"/>
      <c r="C264" s="394" t="s">
        <v>50</v>
      </c>
      <c r="D264" s="394"/>
      <c r="E264" s="394"/>
      <c r="F264" s="409">
        <f>+E263</f>
        <v>27454.249780594786</v>
      </c>
      <c r="G264" s="394"/>
      <c r="H264" s="394"/>
      <c r="I264" s="394"/>
      <c r="J264" s="394"/>
      <c r="K264" s="394"/>
      <c r="L264" s="394"/>
      <c r="M264" s="394"/>
      <c r="N264" s="394"/>
      <c r="O264" s="395"/>
    </row>
    <row r="265" spans="2:15" ht="18.75" x14ac:dyDescent="0.3">
      <c r="B265" s="392"/>
      <c r="C265" s="393" t="s">
        <v>58</v>
      </c>
      <c r="D265" s="394"/>
      <c r="E265" s="411" t="s">
        <v>37</v>
      </c>
      <c r="F265" s="411" t="s">
        <v>38</v>
      </c>
      <c r="G265" s="394"/>
      <c r="H265" s="394"/>
      <c r="I265" s="394"/>
      <c r="J265" s="394"/>
      <c r="K265" s="394"/>
      <c r="L265" s="394"/>
      <c r="M265" s="394"/>
      <c r="N265" s="394"/>
      <c r="O265" s="395"/>
    </row>
    <row r="266" spans="2:15" ht="18.75" x14ac:dyDescent="0.3">
      <c r="B266" s="392"/>
      <c r="C266" s="394" t="s">
        <v>504</v>
      </c>
      <c r="D266" s="394"/>
      <c r="E266" s="409">
        <f>+D259</f>
        <v>28277.877274012633</v>
      </c>
      <c r="F266" s="394"/>
      <c r="G266" s="394"/>
      <c r="H266" s="394"/>
      <c r="I266" s="394"/>
      <c r="J266" s="394"/>
      <c r="K266" s="394"/>
      <c r="L266" s="394"/>
      <c r="M266" s="394"/>
      <c r="N266" s="394"/>
      <c r="O266" s="395"/>
    </row>
    <row r="267" spans="2:15" ht="18.75" x14ac:dyDescent="0.3">
      <c r="B267" s="392"/>
      <c r="C267" s="394" t="s">
        <v>50</v>
      </c>
      <c r="D267" s="394"/>
      <c r="E267" s="394"/>
      <c r="F267" s="409">
        <f>+E266</f>
        <v>28277.877274012633</v>
      </c>
      <c r="G267" s="394"/>
      <c r="H267" s="394"/>
      <c r="I267" s="394"/>
      <c r="J267" s="394"/>
      <c r="K267" s="394"/>
      <c r="L267" s="394"/>
      <c r="M267" s="394"/>
      <c r="N267" s="394"/>
      <c r="O267" s="395"/>
    </row>
    <row r="268" spans="2:15" ht="18.75" x14ac:dyDescent="0.3">
      <c r="B268" s="392"/>
      <c r="C268" s="393" t="s">
        <v>59</v>
      </c>
      <c r="D268" s="394"/>
      <c r="E268" s="411" t="s">
        <v>37</v>
      </c>
      <c r="F268" s="411" t="s">
        <v>38</v>
      </c>
      <c r="G268" s="394"/>
      <c r="H268" s="394"/>
      <c r="I268" s="394"/>
      <c r="J268" s="394"/>
      <c r="K268" s="394"/>
      <c r="L268" s="394"/>
      <c r="M268" s="394"/>
      <c r="N268" s="394"/>
      <c r="O268" s="395"/>
    </row>
    <row r="269" spans="2:15" ht="18.75" x14ac:dyDescent="0.3">
      <c r="B269" s="392"/>
      <c r="C269" s="394" t="s">
        <v>504</v>
      </c>
      <c r="D269" s="394"/>
      <c r="E269" s="409">
        <f>+D260</f>
        <v>29126.213592233013</v>
      </c>
      <c r="F269" s="394"/>
      <c r="G269" s="394"/>
      <c r="H269" s="394"/>
      <c r="I269" s="394"/>
      <c r="J269" s="394"/>
      <c r="K269" s="394"/>
      <c r="L269" s="394"/>
      <c r="M269" s="394"/>
      <c r="N269" s="394"/>
      <c r="O269" s="395"/>
    </row>
    <row r="270" spans="2:15" ht="18.75" x14ac:dyDescent="0.3">
      <c r="B270" s="392"/>
      <c r="C270" s="394" t="s">
        <v>50</v>
      </c>
      <c r="D270" s="394"/>
      <c r="E270" s="394"/>
      <c r="F270" s="409">
        <f>+E269</f>
        <v>29126.213592233013</v>
      </c>
      <c r="G270" s="394"/>
      <c r="H270" s="394"/>
      <c r="I270" s="394"/>
      <c r="J270" s="394"/>
      <c r="K270" s="394"/>
      <c r="L270" s="394"/>
      <c r="M270" s="394"/>
      <c r="N270" s="394"/>
      <c r="O270" s="395"/>
    </row>
    <row r="271" spans="2:15" ht="18.75" x14ac:dyDescent="0.3">
      <c r="B271" s="403"/>
      <c r="C271" s="396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96"/>
      <c r="O271" s="397"/>
    </row>
    <row r="273" spans="2:15" ht="18.75" x14ac:dyDescent="0.3">
      <c r="B273" s="416" t="s">
        <v>505</v>
      </c>
      <c r="C273" s="417"/>
      <c r="D273" s="417"/>
      <c r="E273" s="417"/>
      <c r="F273" s="417"/>
      <c r="G273" s="417"/>
      <c r="H273" s="417"/>
      <c r="I273" s="417"/>
      <c r="J273" s="417"/>
      <c r="K273" s="417"/>
      <c r="L273" s="417"/>
      <c r="M273" s="417"/>
      <c r="N273" s="417"/>
      <c r="O273" s="418"/>
    </row>
    <row r="274" spans="2:15" ht="18.75" x14ac:dyDescent="0.3">
      <c r="B274" s="606" t="s">
        <v>506</v>
      </c>
      <c r="C274" s="393"/>
      <c r="D274" s="394"/>
      <c r="E274" s="394"/>
      <c r="F274" s="394"/>
      <c r="G274" s="394"/>
      <c r="H274" s="394"/>
      <c r="I274" s="394"/>
      <c r="J274" s="394"/>
      <c r="K274" s="394"/>
      <c r="L274" s="394"/>
      <c r="M274" s="394"/>
      <c r="N274" s="394"/>
      <c r="O274" s="395"/>
    </row>
    <row r="275" spans="2:15" ht="18.75" x14ac:dyDescent="0.3">
      <c r="B275" s="606" t="s">
        <v>507</v>
      </c>
      <c r="C275" s="393"/>
      <c r="D275" s="394"/>
      <c r="E275" s="394"/>
      <c r="F275" s="394"/>
      <c r="G275" s="394"/>
      <c r="H275" s="394"/>
      <c r="I275" s="394"/>
      <c r="J275" s="394"/>
      <c r="K275" s="394"/>
      <c r="L275" s="394"/>
      <c r="M275" s="394"/>
      <c r="N275" s="394"/>
      <c r="O275" s="395"/>
    </row>
    <row r="276" spans="2:15" ht="18.75" x14ac:dyDescent="0.3">
      <c r="B276" s="606" t="s">
        <v>508</v>
      </c>
      <c r="C276" s="393"/>
      <c r="D276" s="394"/>
      <c r="E276" s="394"/>
      <c r="F276" s="394"/>
      <c r="G276" s="394"/>
      <c r="H276" s="394"/>
      <c r="I276" s="394"/>
      <c r="J276" s="394"/>
      <c r="K276" s="394"/>
      <c r="L276" s="394"/>
      <c r="M276" s="394"/>
      <c r="N276" s="394"/>
      <c r="O276" s="395"/>
    </row>
    <row r="277" spans="2:15" ht="18.75" x14ac:dyDescent="0.3">
      <c r="B277" s="606" t="s">
        <v>593</v>
      </c>
      <c r="C277" s="393"/>
      <c r="D277" s="394"/>
      <c r="E277" s="394"/>
      <c r="F277" s="394"/>
      <c r="G277" s="394"/>
      <c r="H277" s="394"/>
      <c r="I277" s="394"/>
      <c r="J277" s="394"/>
      <c r="K277" s="394"/>
      <c r="L277" s="394"/>
      <c r="M277" s="394"/>
      <c r="N277" s="394"/>
      <c r="O277" s="395"/>
    </row>
    <row r="278" spans="2:15" ht="18.75" x14ac:dyDescent="0.3">
      <c r="B278" s="607" t="s">
        <v>594</v>
      </c>
      <c r="C278" s="408"/>
      <c r="D278" s="396"/>
      <c r="E278" s="396"/>
      <c r="F278" s="396"/>
      <c r="G278" s="396"/>
      <c r="H278" s="396"/>
      <c r="I278" s="396"/>
      <c r="J278" s="396"/>
      <c r="K278" s="396"/>
      <c r="L278" s="396"/>
      <c r="M278" s="396"/>
      <c r="N278" s="396"/>
      <c r="O278" s="397"/>
    </row>
    <row r="279" spans="2:15" ht="18.75" x14ac:dyDescent="0.3">
      <c r="B279" s="607" t="s">
        <v>595</v>
      </c>
      <c r="C279" s="408"/>
      <c r="D279" s="396"/>
      <c r="E279" s="396"/>
      <c r="F279" s="396"/>
      <c r="G279" s="396"/>
      <c r="H279" s="396"/>
      <c r="I279" s="396"/>
      <c r="J279" s="396"/>
      <c r="K279" s="396"/>
      <c r="L279" s="396"/>
      <c r="M279" s="396"/>
      <c r="N279" s="396"/>
      <c r="O279" s="397"/>
    </row>
    <row r="281" spans="2:15" x14ac:dyDescent="0.3">
      <c r="B281" s="610" t="s">
        <v>590</v>
      </c>
      <c r="C281" s="610"/>
      <c r="D281" s="610"/>
      <c r="E281" s="610"/>
      <c r="F281" s="612"/>
      <c r="G281" s="613" t="s">
        <v>46</v>
      </c>
      <c r="H281" s="613" t="s">
        <v>503</v>
      </c>
      <c r="I281" s="613" t="s">
        <v>302</v>
      </c>
      <c r="J281" s="613" t="s">
        <v>49</v>
      </c>
    </row>
    <row r="282" spans="2:15" x14ac:dyDescent="0.3">
      <c r="B282" s="389" t="s">
        <v>300</v>
      </c>
      <c r="C282" s="608">
        <v>10000000</v>
      </c>
      <c r="F282" s="389">
        <v>1</v>
      </c>
      <c r="G282" s="608">
        <f>+C282</f>
        <v>10000000</v>
      </c>
      <c r="H282" s="614">
        <f>+G282*$C$283</f>
        <v>66666.666666666672</v>
      </c>
      <c r="I282" s="608">
        <f>-C285</f>
        <v>-121327.59435535692</v>
      </c>
      <c r="J282" s="608">
        <f>SUM(G282:I282)</f>
        <v>9945339.0723113082</v>
      </c>
    </row>
    <row r="283" spans="2:15" x14ac:dyDescent="0.3">
      <c r="B283" s="389" t="s">
        <v>42</v>
      </c>
      <c r="C283" s="609">
        <f>+D283/12</f>
        <v>6.6666666666666671E-3</v>
      </c>
      <c r="D283" s="609">
        <v>0.08</v>
      </c>
      <c r="F283" s="389">
        <f>+F282+1</f>
        <v>2</v>
      </c>
      <c r="G283" s="608">
        <f>+J282</f>
        <v>9945339.0723113082</v>
      </c>
      <c r="H283" s="614">
        <f>+G283*$C$283</f>
        <v>66302.260482075391</v>
      </c>
      <c r="I283" s="608">
        <f>+I282</f>
        <v>-121327.59435535692</v>
      </c>
      <c r="J283" s="608">
        <f>SUM(G283:I283)</f>
        <v>9890313.7384380251</v>
      </c>
    </row>
    <row r="284" spans="2:15" x14ac:dyDescent="0.3">
      <c r="B284" s="389" t="s">
        <v>29</v>
      </c>
      <c r="C284" s="389">
        <v>120</v>
      </c>
      <c r="F284" s="389">
        <f t="shared" ref="F284:F347" si="94">+F283+1</f>
        <v>3</v>
      </c>
      <c r="G284" s="608">
        <f t="shared" ref="G284:G347" si="95">+J283</f>
        <v>9890313.7384380251</v>
      </c>
      <c r="H284" s="614">
        <f t="shared" ref="H284:H347" si="96">+G284*$C$283</f>
        <v>65935.424922920167</v>
      </c>
      <c r="I284" s="608">
        <f t="shared" ref="I284:I347" si="97">+I283</f>
        <v>-121327.59435535692</v>
      </c>
      <c r="J284" s="608">
        <f t="shared" ref="J284:J347" si="98">SUM(G284:I284)</f>
        <v>9834921.5690055881</v>
      </c>
    </row>
    <row r="285" spans="2:15" x14ac:dyDescent="0.3">
      <c r="B285" s="389" t="s">
        <v>41</v>
      </c>
      <c r="C285" s="608">
        <f>-PMT(C283,C284,C282,0,0)</f>
        <v>121327.59435535692</v>
      </c>
      <c r="F285" s="389">
        <f t="shared" si="94"/>
        <v>4</v>
      </c>
      <c r="G285" s="608">
        <f t="shared" si="95"/>
        <v>9834921.5690055881</v>
      </c>
      <c r="H285" s="614">
        <f t="shared" si="96"/>
        <v>65566.143793370589</v>
      </c>
      <c r="I285" s="608">
        <f t="shared" si="97"/>
        <v>-121327.59435535692</v>
      </c>
      <c r="J285" s="608">
        <f t="shared" si="98"/>
        <v>9779160.1184436008</v>
      </c>
    </row>
    <row r="286" spans="2:15" x14ac:dyDescent="0.3">
      <c r="F286" s="389">
        <f t="shared" si="94"/>
        <v>5</v>
      </c>
      <c r="G286" s="608">
        <f t="shared" si="95"/>
        <v>9779160.1184436008</v>
      </c>
      <c r="H286" s="614">
        <f t="shared" si="96"/>
        <v>65194.400789624007</v>
      </c>
      <c r="I286" s="608">
        <f t="shared" si="97"/>
        <v>-121327.59435535692</v>
      </c>
      <c r="J286" s="608">
        <f t="shared" si="98"/>
        <v>9723026.9248778671</v>
      </c>
    </row>
    <row r="287" spans="2:15" x14ac:dyDescent="0.3">
      <c r="B287" s="389" t="s">
        <v>36</v>
      </c>
      <c r="C287" s="608">
        <f>+C282</f>
        <v>10000000</v>
      </c>
      <c r="F287" s="389">
        <f t="shared" si="94"/>
        <v>6</v>
      </c>
      <c r="G287" s="608">
        <f t="shared" si="95"/>
        <v>9723026.9248778671</v>
      </c>
      <c r="H287" s="614">
        <f t="shared" si="96"/>
        <v>64820.179499185782</v>
      </c>
      <c r="I287" s="608">
        <f t="shared" si="97"/>
        <v>-121327.59435535692</v>
      </c>
      <c r="J287" s="608">
        <f t="shared" si="98"/>
        <v>9666519.5100216959</v>
      </c>
    </row>
    <row r="288" spans="2:15" x14ac:dyDescent="0.3">
      <c r="B288" s="389" t="s">
        <v>591</v>
      </c>
      <c r="D288" s="608">
        <f>+C287</f>
        <v>10000000</v>
      </c>
      <c r="F288" s="389">
        <f t="shared" si="94"/>
        <v>7</v>
      </c>
      <c r="G288" s="608">
        <f t="shared" si="95"/>
        <v>9666519.5100216959</v>
      </c>
      <c r="H288" s="614">
        <f t="shared" si="96"/>
        <v>64443.463400144647</v>
      </c>
      <c r="I288" s="608">
        <f t="shared" si="97"/>
        <v>-121327.59435535692</v>
      </c>
      <c r="J288" s="608">
        <f t="shared" si="98"/>
        <v>9609635.3790664822</v>
      </c>
    </row>
    <row r="289" spans="2:10" x14ac:dyDescent="0.3">
      <c r="F289" s="389">
        <f t="shared" si="94"/>
        <v>8</v>
      </c>
      <c r="G289" s="608">
        <f t="shared" si="95"/>
        <v>9609635.3790664822</v>
      </c>
      <c r="H289" s="614">
        <f t="shared" si="96"/>
        <v>64064.235860443216</v>
      </c>
      <c r="I289" s="608">
        <f t="shared" si="97"/>
        <v>-121327.59435535692</v>
      </c>
      <c r="J289" s="608">
        <f t="shared" si="98"/>
        <v>9552372.0205715671</v>
      </c>
    </row>
    <row r="290" spans="2:10" x14ac:dyDescent="0.3">
      <c r="B290" s="389" t="s">
        <v>501</v>
      </c>
      <c r="C290" s="608">
        <f>SUM(H282:H293)</f>
        <v>775406.62629393779</v>
      </c>
      <c r="F290" s="389">
        <f t="shared" si="94"/>
        <v>9</v>
      </c>
      <c r="G290" s="608">
        <f t="shared" si="95"/>
        <v>9552372.0205715671</v>
      </c>
      <c r="H290" s="614">
        <f t="shared" si="96"/>
        <v>63682.480137143786</v>
      </c>
      <c r="I290" s="608">
        <f t="shared" si="97"/>
        <v>-121327.59435535692</v>
      </c>
      <c r="J290" s="608">
        <f t="shared" si="98"/>
        <v>9494726.9063533526</v>
      </c>
    </row>
    <row r="291" spans="2:10" x14ac:dyDescent="0.3">
      <c r="B291" s="389" t="s">
        <v>592</v>
      </c>
      <c r="D291" s="608">
        <f>+C290</f>
        <v>775406.62629393779</v>
      </c>
      <c r="F291" s="389">
        <f t="shared" si="94"/>
        <v>10</v>
      </c>
      <c r="G291" s="608">
        <f t="shared" si="95"/>
        <v>9494726.9063533526</v>
      </c>
      <c r="H291" s="614">
        <f t="shared" si="96"/>
        <v>63298.179375689018</v>
      </c>
      <c r="I291" s="608">
        <f t="shared" si="97"/>
        <v>-121327.59435535692</v>
      </c>
      <c r="J291" s="608">
        <f t="shared" si="98"/>
        <v>9436697.4913736843</v>
      </c>
    </row>
    <row r="292" spans="2:10" x14ac:dyDescent="0.3">
      <c r="F292" s="389">
        <f t="shared" si="94"/>
        <v>11</v>
      </c>
      <c r="G292" s="608">
        <f t="shared" si="95"/>
        <v>9436697.4913736843</v>
      </c>
      <c r="H292" s="614">
        <f t="shared" si="96"/>
        <v>62911.316609157897</v>
      </c>
      <c r="I292" s="608">
        <f t="shared" si="97"/>
        <v>-121327.59435535692</v>
      </c>
      <c r="J292" s="608">
        <f t="shared" si="98"/>
        <v>9378281.2136274837</v>
      </c>
    </row>
    <row r="293" spans="2:10" x14ac:dyDescent="0.3">
      <c r="B293" s="615" t="s">
        <v>596</v>
      </c>
      <c r="F293" s="389">
        <f t="shared" si="94"/>
        <v>12</v>
      </c>
      <c r="G293" s="608">
        <f t="shared" si="95"/>
        <v>9378281.2136274837</v>
      </c>
      <c r="H293" s="614">
        <f t="shared" si="96"/>
        <v>62521.874757516562</v>
      </c>
      <c r="I293" s="608">
        <f t="shared" si="97"/>
        <v>-121327.59435535692</v>
      </c>
      <c r="J293" s="608">
        <f t="shared" si="98"/>
        <v>9319475.494029643</v>
      </c>
    </row>
    <row r="294" spans="2:10" x14ac:dyDescent="0.3">
      <c r="B294" s="615" t="s">
        <v>597</v>
      </c>
      <c r="F294" s="389">
        <f t="shared" si="94"/>
        <v>13</v>
      </c>
      <c r="G294" s="608">
        <f t="shared" si="95"/>
        <v>9319475.494029643</v>
      </c>
      <c r="H294" s="608">
        <f t="shared" si="96"/>
        <v>62129.836626864293</v>
      </c>
      <c r="I294" s="608">
        <f t="shared" si="97"/>
        <v>-121327.59435535692</v>
      </c>
      <c r="J294" s="608">
        <f t="shared" si="98"/>
        <v>9260277.7363011502</v>
      </c>
    </row>
    <row r="295" spans="2:10" x14ac:dyDescent="0.3">
      <c r="B295" s="615" t="s">
        <v>598</v>
      </c>
      <c r="F295" s="389">
        <f t="shared" si="94"/>
        <v>14</v>
      </c>
      <c r="G295" s="608">
        <f t="shared" si="95"/>
        <v>9260277.7363011502</v>
      </c>
      <c r="H295" s="608">
        <f t="shared" si="96"/>
        <v>61735.184908674339</v>
      </c>
      <c r="I295" s="608">
        <f t="shared" si="97"/>
        <v>-121327.59435535692</v>
      </c>
      <c r="J295" s="608">
        <f t="shared" si="98"/>
        <v>9200685.3268544674</v>
      </c>
    </row>
    <row r="296" spans="2:10" x14ac:dyDescent="0.3">
      <c r="F296" s="389">
        <f t="shared" si="94"/>
        <v>15</v>
      </c>
      <c r="G296" s="608">
        <f t="shared" si="95"/>
        <v>9200685.3268544674</v>
      </c>
      <c r="H296" s="608">
        <f t="shared" si="96"/>
        <v>61337.902179029785</v>
      </c>
      <c r="I296" s="608">
        <f t="shared" si="97"/>
        <v>-121327.59435535692</v>
      </c>
      <c r="J296" s="608">
        <f t="shared" si="98"/>
        <v>9140695.6346781403</v>
      </c>
    </row>
    <row r="297" spans="2:10" x14ac:dyDescent="0.3">
      <c r="F297" s="389">
        <f t="shared" si="94"/>
        <v>16</v>
      </c>
      <c r="G297" s="608">
        <f t="shared" si="95"/>
        <v>9140695.6346781403</v>
      </c>
      <c r="H297" s="608">
        <f t="shared" si="96"/>
        <v>60937.970897854269</v>
      </c>
      <c r="I297" s="608">
        <f t="shared" si="97"/>
        <v>-121327.59435535692</v>
      </c>
      <c r="J297" s="608">
        <f t="shared" si="98"/>
        <v>9080306.0112206358</v>
      </c>
    </row>
    <row r="298" spans="2:10" x14ac:dyDescent="0.3">
      <c r="F298" s="389">
        <f t="shared" si="94"/>
        <v>17</v>
      </c>
      <c r="G298" s="608">
        <f t="shared" si="95"/>
        <v>9080306.0112206358</v>
      </c>
      <c r="H298" s="608">
        <f t="shared" si="96"/>
        <v>60535.373408137573</v>
      </c>
      <c r="I298" s="608">
        <f t="shared" si="97"/>
        <v>-121327.59435535692</v>
      </c>
      <c r="J298" s="608">
        <f t="shared" si="98"/>
        <v>9019513.7902734149</v>
      </c>
    </row>
    <row r="299" spans="2:10" x14ac:dyDescent="0.3">
      <c r="F299" s="389">
        <f t="shared" si="94"/>
        <v>18</v>
      </c>
      <c r="G299" s="608">
        <f t="shared" si="95"/>
        <v>9019513.7902734149</v>
      </c>
      <c r="H299" s="608">
        <f t="shared" si="96"/>
        <v>60130.091935156102</v>
      </c>
      <c r="I299" s="608">
        <f t="shared" si="97"/>
        <v>-121327.59435535692</v>
      </c>
      <c r="J299" s="608">
        <f t="shared" si="98"/>
        <v>8958316.287853213</v>
      </c>
    </row>
    <row r="300" spans="2:10" x14ac:dyDescent="0.3">
      <c r="F300" s="389">
        <f t="shared" si="94"/>
        <v>19</v>
      </c>
      <c r="G300" s="608">
        <f t="shared" si="95"/>
        <v>8958316.287853213</v>
      </c>
      <c r="H300" s="608">
        <f t="shared" si="96"/>
        <v>59722.108585688089</v>
      </c>
      <c r="I300" s="608">
        <f t="shared" si="97"/>
        <v>-121327.59435535692</v>
      </c>
      <c r="J300" s="608">
        <f t="shared" si="98"/>
        <v>8896710.8020835426</v>
      </c>
    </row>
    <row r="301" spans="2:10" x14ac:dyDescent="0.3">
      <c r="F301" s="389">
        <f t="shared" si="94"/>
        <v>20</v>
      </c>
      <c r="G301" s="608">
        <f t="shared" si="95"/>
        <v>8896710.8020835426</v>
      </c>
      <c r="H301" s="608">
        <f t="shared" si="96"/>
        <v>59311.405347223619</v>
      </c>
      <c r="I301" s="608">
        <f t="shared" si="97"/>
        <v>-121327.59435535692</v>
      </c>
      <c r="J301" s="608">
        <f t="shared" si="98"/>
        <v>8834694.6130754091</v>
      </c>
    </row>
    <row r="302" spans="2:10" x14ac:dyDescent="0.3">
      <c r="F302" s="389">
        <f t="shared" si="94"/>
        <v>21</v>
      </c>
      <c r="G302" s="608">
        <f t="shared" si="95"/>
        <v>8834694.6130754091</v>
      </c>
      <c r="H302" s="608">
        <f t="shared" si="96"/>
        <v>58897.964087169399</v>
      </c>
      <c r="I302" s="608">
        <f t="shared" si="97"/>
        <v>-121327.59435535692</v>
      </c>
      <c r="J302" s="608">
        <f t="shared" si="98"/>
        <v>8772264.9828072209</v>
      </c>
    </row>
    <row r="303" spans="2:10" x14ac:dyDescent="0.3">
      <c r="F303" s="389">
        <f t="shared" si="94"/>
        <v>22</v>
      </c>
      <c r="G303" s="608">
        <f t="shared" si="95"/>
        <v>8772264.9828072209</v>
      </c>
      <c r="H303" s="608">
        <f t="shared" si="96"/>
        <v>58481.766552048146</v>
      </c>
      <c r="I303" s="608">
        <f t="shared" si="97"/>
        <v>-121327.59435535692</v>
      </c>
      <c r="J303" s="608">
        <f t="shared" si="98"/>
        <v>8709419.1550039109</v>
      </c>
    </row>
    <row r="304" spans="2:10" x14ac:dyDescent="0.3">
      <c r="F304" s="389">
        <f t="shared" si="94"/>
        <v>23</v>
      </c>
      <c r="G304" s="608">
        <f t="shared" si="95"/>
        <v>8709419.1550039109</v>
      </c>
      <c r="H304" s="608">
        <f t="shared" si="96"/>
        <v>58062.794366692746</v>
      </c>
      <c r="I304" s="608">
        <f t="shared" si="97"/>
        <v>-121327.59435535692</v>
      </c>
      <c r="J304" s="608">
        <f t="shared" si="98"/>
        <v>8646154.3550152462</v>
      </c>
    </row>
    <row r="305" spans="6:10" x14ac:dyDescent="0.3">
      <c r="F305" s="389">
        <f t="shared" si="94"/>
        <v>24</v>
      </c>
      <c r="G305" s="608">
        <f t="shared" si="95"/>
        <v>8646154.3550152462</v>
      </c>
      <c r="H305" s="608">
        <f t="shared" si="96"/>
        <v>57641.029033434977</v>
      </c>
      <c r="I305" s="608">
        <f t="shared" si="97"/>
        <v>-121327.59435535692</v>
      </c>
      <c r="J305" s="608">
        <f t="shared" si="98"/>
        <v>8582467.7896933239</v>
      </c>
    </row>
    <row r="306" spans="6:10" x14ac:dyDescent="0.3">
      <c r="F306" s="389">
        <f t="shared" si="94"/>
        <v>25</v>
      </c>
      <c r="G306" s="608">
        <f t="shared" si="95"/>
        <v>8582467.7896933239</v>
      </c>
      <c r="H306" s="608">
        <f t="shared" si="96"/>
        <v>57216.45193128883</v>
      </c>
      <c r="I306" s="608">
        <f t="shared" si="97"/>
        <v>-121327.59435535692</v>
      </c>
      <c r="J306" s="608">
        <f t="shared" si="98"/>
        <v>8518356.6472692546</v>
      </c>
    </row>
    <row r="307" spans="6:10" x14ac:dyDescent="0.3">
      <c r="F307" s="389">
        <f t="shared" si="94"/>
        <v>26</v>
      </c>
      <c r="G307" s="608">
        <f t="shared" si="95"/>
        <v>8518356.6472692546</v>
      </c>
      <c r="H307" s="608">
        <f t="shared" si="96"/>
        <v>56789.044315128369</v>
      </c>
      <c r="I307" s="608">
        <f t="shared" si="97"/>
        <v>-121327.59435535692</v>
      </c>
      <c r="J307" s="608">
        <f t="shared" si="98"/>
        <v>8453818.0972290244</v>
      </c>
    </row>
    <row r="308" spans="6:10" x14ac:dyDescent="0.3">
      <c r="F308" s="389">
        <f t="shared" si="94"/>
        <v>27</v>
      </c>
      <c r="G308" s="608">
        <f t="shared" si="95"/>
        <v>8453818.0972290244</v>
      </c>
      <c r="H308" s="608">
        <f t="shared" si="96"/>
        <v>56358.787314860165</v>
      </c>
      <c r="I308" s="608">
        <f t="shared" si="97"/>
        <v>-121327.59435535692</v>
      </c>
      <c r="J308" s="608">
        <f t="shared" si="98"/>
        <v>8388849.2901885267</v>
      </c>
    </row>
    <row r="309" spans="6:10" x14ac:dyDescent="0.3">
      <c r="F309" s="389">
        <f t="shared" si="94"/>
        <v>28</v>
      </c>
      <c r="G309" s="608">
        <f t="shared" si="95"/>
        <v>8388849.2901885267</v>
      </c>
      <c r="H309" s="608">
        <f t="shared" si="96"/>
        <v>55925.661934590185</v>
      </c>
      <c r="I309" s="608">
        <f t="shared" si="97"/>
        <v>-121327.59435535692</v>
      </c>
      <c r="J309" s="608">
        <f t="shared" si="98"/>
        <v>8323447.3577677598</v>
      </c>
    </row>
    <row r="310" spans="6:10" x14ac:dyDescent="0.3">
      <c r="F310" s="389">
        <f t="shared" si="94"/>
        <v>29</v>
      </c>
      <c r="G310" s="608">
        <f t="shared" si="95"/>
        <v>8323447.3577677598</v>
      </c>
      <c r="H310" s="608">
        <f t="shared" si="96"/>
        <v>55489.649051785069</v>
      </c>
      <c r="I310" s="608">
        <f t="shared" si="97"/>
        <v>-121327.59435535692</v>
      </c>
      <c r="J310" s="608">
        <f t="shared" si="98"/>
        <v>8257609.4124641884</v>
      </c>
    </row>
    <row r="311" spans="6:10" x14ac:dyDescent="0.3">
      <c r="F311" s="389">
        <f t="shared" si="94"/>
        <v>30</v>
      </c>
      <c r="G311" s="608">
        <f t="shared" si="95"/>
        <v>8257609.4124641884</v>
      </c>
      <c r="H311" s="608">
        <f t="shared" si="96"/>
        <v>55050.729416427923</v>
      </c>
      <c r="I311" s="608">
        <f t="shared" si="97"/>
        <v>-121327.59435535692</v>
      </c>
      <c r="J311" s="608">
        <f t="shared" si="98"/>
        <v>8191332.5475252597</v>
      </c>
    </row>
    <row r="312" spans="6:10" x14ac:dyDescent="0.3">
      <c r="F312" s="389">
        <f t="shared" si="94"/>
        <v>31</v>
      </c>
      <c r="G312" s="608">
        <f t="shared" si="95"/>
        <v>8191332.5475252597</v>
      </c>
      <c r="H312" s="608">
        <f t="shared" si="96"/>
        <v>54608.883650168398</v>
      </c>
      <c r="I312" s="608">
        <f t="shared" si="97"/>
        <v>-121327.59435535692</v>
      </c>
      <c r="J312" s="608">
        <f t="shared" si="98"/>
        <v>8124613.8368200716</v>
      </c>
    </row>
    <row r="313" spans="6:10" x14ac:dyDescent="0.3">
      <c r="F313" s="389">
        <f t="shared" si="94"/>
        <v>32</v>
      </c>
      <c r="G313" s="608">
        <f t="shared" si="95"/>
        <v>8124613.8368200716</v>
      </c>
      <c r="H313" s="608">
        <f t="shared" si="96"/>
        <v>54164.092245467145</v>
      </c>
      <c r="I313" s="608">
        <f t="shared" si="97"/>
        <v>-121327.59435535692</v>
      </c>
      <c r="J313" s="608">
        <f t="shared" si="98"/>
        <v>8057450.3347101817</v>
      </c>
    </row>
    <row r="314" spans="6:10" x14ac:dyDescent="0.3">
      <c r="F314" s="389">
        <f t="shared" si="94"/>
        <v>33</v>
      </c>
      <c r="G314" s="608">
        <f t="shared" si="95"/>
        <v>8057450.3347101817</v>
      </c>
      <c r="H314" s="608">
        <f t="shared" si="96"/>
        <v>53716.335564734545</v>
      </c>
      <c r="I314" s="608">
        <f t="shared" si="97"/>
        <v>-121327.59435535692</v>
      </c>
      <c r="J314" s="608">
        <f t="shared" si="98"/>
        <v>7989839.0759195592</v>
      </c>
    </row>
    <row r="315" spans="6:10" x14ac:dyDescent="0.3">
      <c r="F315" s="389">
        <f t="shared" si="94"/>
        <v>34</v>
      </c>
      <c r="G315" s="608">
        <f t="shared" si="95"/>
        <v>7989839.0759195592</v>
      </c>
      <c r="H315" s="608">
        <f t="shared" si="96"/>
        <v>53265.593839463734</v>
      </c>
      <c r="I315" s="608">
        <f t="shared" si="97"/>
        <v>-121327.59435535692</v>
      </c>
      <c r="J315" s="608">
        <f t="shared" si="98"/>
        <v>7921777.0754036661</v>
      </c>
    </row>
    <row r="316" spans="6:10" x14ac:dyDescent="0.3">
      <c r="F316" s="389">
        <f t="shared" si="94"/>
        <v>35</v>
      </c>
      <c r="G316" s="608">
        <f t="shared" si="95"/>
        <v>7921777.0754036661</v>
      </c>
      <c r="H316" s="608">
        <f t="shared" si="96"/>
        <v>52811.847169357774</v>
      </c>
      <c r="I316" s="608">
        <f t="shared" si="97"/>
        <v>-121327.59435535692</v>
      </c>
      <c r="J316" s="608">
        <f t="shared" si="98"/>
        <v>7853261.3282176666</v>
      </c>
    </row>
    <row r="317" spans="6:10" x14ac:dyDescent="0.3">
      <c r="F317" s="389">
        <f t="shared" si="94"/>
        <v>36</v>
      </c>
      <c r="G317" s="608">
        <f t="shared" si="95"/>
        <v>7853261.3282176666</v>
      </c>
      <c r="H317" s="608">
        <f t="shared" si="96"/>
        <v>52355.075521451115</v>
      </c>
      <c r="I317" s="608">
        <f t="shared" si="97"/>
        <v>-121327.59435535692</v>
      </c>
      <c r="J317" s="608">
        <f t="shared" si="98"/>
        <v>7784288.8093837611</v>
      </c>
    </row>
    <row r="318" spans="6:10" x14ac:dyDescent="0.3">
      <c r="F318" s="389">
        <f t="shared" si="94"/>
        <v>37</v>
      </c>
      <c r="G318" s="608">
        <f t="shared" si="95"/>
        <v>7784288.8093837611</v>
      </c>
      <c r="H318" s="608">
        <f t="shared" si="96"/>
        <v>51895.258729225076</v>
      </c>
      <c r="I318" s="608">
        <f t="shared" si="97"/>
        <v>-121327.59435535692</v>
      </c>
      <c r="J318" s="608">
        <f t="shared" si="98"/>
        <v>7714856.4737576293</v>
      </c>
    </row>
    <row r="319" spans="6:10" x14ac:dyDescent="0.3">
      <c r="F319" s="389">
        <f t="shared" si="94"/>
        <v>38</v>
      </c>
      <c r="G319" s="608">
        <f t="shared" si="95"/>
        <v>7714856.4737576293</v>
      </c>
      <c r="H319" s="608">
        <f t="shared" si="96"/>
        <v>51432.376491717529</v>
      </c>
      <c r="I319" s="608">
        <f t="shared" si="97"/>
        <v>-121327.59435535692</v>
      </c>
      <c r="J319" s="608">
        <f t="shared" si="98"/>
        <v>7644961.2558939895</v>
      </c>
    </row>
    <row r="320" spans="6:10" x14ac:dyDescent="0.3">
      <c r="F320" s="389">
        <f t="shared" si="94"/>
        <v>39</v>
      </c>
      <c r="G320" s="608">
        <f t="shared" si="95"/>
        <v>7644961.2558939895</v>
      </c>
      <c r="H320" s="608">
        <f t="shared" si="96"/>
        <v>50966.408372626596</v>
      </c>
      <c r="I320" s="608">
        <f t="shared" si="97"/>
        <v>-121327.59435535692</v>
      </c>
      <c r="J320" s="608">
        <f t="shared" si="98"/>
        <v>7574600.0699112592</v>
      </c>
    </row>
    <row r="321" spans="6:10" x14ac:dyDescent="0.3">
      <c r="F321" s="389">
        <f t="shared" si="94"/>
        <v>40</v>
      </c>
      <c r="G321" s="608">
        <f t="shared" si="95"/>
        <v>7574600.0699112592</v>
      </c>
      <c r="H321" s="608">
        <f t="shared" si="96"/>
        <v>50497.333799408399</v>
      </c>
      <c r="I321" s="608">
        <f t="shared" si="97"/>
        <v>-121327.59435535692</v>
      </c>
      <c r="J321" s="608">
        <f t="shared" si="98"/>
        <v>7503769.8093553111</v>
      </c>
    </row>
    <row r="322" spans="6:10" x14ac:dyDescent="0.3">
      <c r="F322" s="389">
        <f t="shared" si="94"/>
        <v>41</v>
      </c>
      <c r="G322" s="608">
        <f t="shared" si="95"/>
        <v>7503769.8093553111</v>
      </c>
      <c r="H322" s="608">
        <f t="shared" si="96"/>
        <v>50025.132062368742</v>
      </c>
      <c r="I322" s="608">
        <f t="shared" si="97"/>
        <v>-121327.59435535692</v>
      </c>
      <c r="J322" s="608">
        <f t="shared" si="98"/>
        <v>7432467.3470623232</v>
      </c>
    </row>
    <row r="323" spans="6:10" x14ac:dyDescent="0.3">
      <c r="F323" s="389">
        <f t="shared" si="94"/>
        <v>42</v>
      </c>
      <c r="G323" s="608">
        <f t="shared" si="95"/>
        <v>7432467.3470623232</v>
      </c>
      <c r="H323" s="608">
        <f t="shared" si="96"/>
        <v>49549.782313748823</v>
      </c>
      <c r="I323" s="608">
        <f t="shared" si="97"/>
        <v>-121327.59435535692</v>
      </c>
      <c r="J323" s="608">
        <f t="shared" si="98"/>
        <v>7360689.5350207156</v>
      </c>
    </row>
    <row r="324" spans="6:10" x14ac:dyDescent="0.3">
      <c r="F324" s="389">
        <f t="shared" si="94"/>
        <v>43</v>
      </c>
      <c r="G324" s="608">
        <f t="shared" si="95"/>
        <v>7360689.5350207156</v>
      </c>
      <c r="H324" s="608">
        <f t="shared" si="96"/>
        <v>49071.263566804773</v>
      </c>
      <c r="I324" s="608">
        <f t="shared" si="97"/>
        <v>-121327.59435535692</v>
      </c>
      <c r="J324" s="608">
        <f t="shared" si="98"/>
        <v>7288433.2042321637</v>
      </c>
    </row>
    <row r="325" spans="6:10" x14ac:dyDescent="0.3">
      <c r="F325" s="389">
        <f t="shared" si="94"/>
        <v>44</v>
      </c>
      <c r="G325" s="608">
        <f t="shared" si="95"/>
        <v>7288433.2042321637</v>
      </c>
      <c r="H325" s="608">
        <f t="shared" si="96"/>
        <v>48589.554694881095</v>
      </c>
      <c r="I325" s="608">
        <f t="shared" si="97"/>
        <v>-121327.59435535692</v>
      </c>
      <c r="J325" s="608">
        <f t="shared" si="98"/>
        <v>7215695.1645716876</v>
      </c>
    </row>
    <row r="326" spans="6:10" x14ac:dyDescent="0.3">
      <c r="F326" s="389">
        <f t="shared" si="94"/>
        <v>45</v>
      </c>
      <c r="G326" s="608">
        <f t="shared" si="95"/>
        <v>7215695.1645716876</v>
      </c>
      <c r="H326" s="608">
        <f t="shared" si="96"/>
        <v>48104.63443047792</v>
      </c>
      <c r="I326" s="608">
        <f t="shared" si="97"/>
        <v>-121327.59435535692</v>
      </c>
      <c r="J326" s="608">
        <f t="shared" si="98"/>
        <v>7142472.204646809</v>
      </c>
    </row>
    <row r="327" spans="6:10" x14ac:dyDescent="0.3">
      <c r="F327" s="389">
        <f t="shared" si="94"/>
        <v>46</v>
      </c>
      <c r="G327" s="608">
        <f t="shared" si="95"/>
        <v>7142472.204646809</v>
      </c>
      <c r="H327" s="608">
        <f t="shared" si="96"/>
        <v>47616.481364312065</v>
      </c>
      <c r="I327" s="608">
        <f t="shared" si="97"/>
        <v>-121327.59435535692</v>
      </c>
      <c r="J327" s="608">
        <f t="shared" si="98"/>
        <v>7068761.0916557638</v>
      </c>
    </row>
    <row r="328" spans="6:10" x14ac:dyDescent="0.3">
      <c r="F328" s="389">
        <f t="shared" si="94"/>
        <v>47</v>
      </c>
      <c r="G328" s="608">
        <f t="shared" si="95"/>
        <v>7068761.0916557638</v>
      </c>
      <c r="H328" s="608">
        <f t="shared" si="96"/>
        <v>47125.073944371761</v>
      </c>
      <c r="I328" s="608">
        <f t="shared" si="97"/>
        <v>-121327.59435535692</v>
      </c>
      <c r="J328" s="608">
        <f t="shared" si="98"/>
        <v>6994558.571244779</v>
      </c>
    </row>
    <row r="329" spans="6:10" x14ac:dyDescent="0.3">
      <c r="F329" s="389">
        <f t="shared" si="94"/>
        <v>48</v>
      </c>
      <c r="G329" s="608">
        <f t="shared" si="95"/>
        <v>6994558.571244779</v>
      </c>
      <c r="H329" s="608">
        <f t="shared" si="96"/>
        <v>46630.390474965199</v>
      </c>
      <c r="I329" s="608">
        <f t="shared" si="97"/>
        <v>-121327.59435535692</v>
      </c>
      <c r="J329" s="608">
        <f t="shared" si="98"/>
        <v>6919861.367364387</v>
      </c>
    </row>
    <row r="330" spans="6:10" x14ac:dyDescent="0.3">
      <c r="F330" s="389">
        <f t="shared" si="94"/>
        <v>49</v>
      </c>
      <c r="G330" s="608">
        <f t="shared" si="95"/>
        <v>6919861.367364387</v>
      </c>
      <c r="H330" s="608">
        <f t="shared" si="96"/>
        <v>46132.409115762581</v>
      </c>
      <c r="I330" s="608">
        <f t="shared" si="97"/>
        <v>-121327.59435535692</v>
      </c>
      <c r="J330" s="608">
        <f t="shared" si="98"/>
        <v>6844666.1821247926</v>
      </c>
    </row>
    <row r="331" spans="6:10" x14ac:dyDescent="0.3">
      <c r="F331" s="389">
        <f t="shared" si="94"/>
        <v>50</v>
      </c>
      <c r="G331" s="608">
        <f t="shared" si="95"/>
        <v>6844666.1821247926</v>
      </c>
      <c r="H331" s="608">
        <f t="shared" si="96"/>
        <v>45631.107880831951</v>
      </c>
      <c r="I331" s="608">
        <f t="shared" si="97"/>
        <v>-121327.59435535692</v>
      </c>
      <c r="J331" s="608">
        <f t="shared" si="98"/>
        <v>6768969.6956502674</v>
      </c>
    </row>
    <row r="332" spans="6:10" x14ac:dyDescent="0.3">
      <c r="F332" s="389">
        <f t="shared" si="94"/>
        <v>51</v>
      </c>
      <c r="G332" s="608">
        <f t="shared" si="95"/>
        <v>6768969.6956502674</v>
      </c>
      <c r="H332" s="608">
        <f t="shared" si="96"/>
        <v>45126.464637668454</v>
      </c>
      <c r="I332" s="608">
        <f t="shared" si="97"/>
        <v>-121327.59435535692</v>
      </c>
      <c r="J332" s="608">
        <f t="shared" si="98"/>
        <v>6692768.5659325793</v>
      </c>
    </row>
    <row r="333" spans="6:10" x14ac:dyDescent="0.3">
      <c r="F333" s="389">
        <f t="shared" si="94"/>
        <v>52</v>
      </c>
      <c r="G333" s="608">
        <f t="shared" si="95"/>
        <v>6692768.5659325793</v>
      </c>
      <c r="H333" s="608">
        <f t="shared" si="96"/>
        <v>44618.457106217196</v>
      </c>
      <c r="I333" s="608">
        <f t="shared" si="97"/>
        <v>-121327.59435535692</v>
      </c>
      <c r="J333" s="608">
        <f t="shared" si="98"/>
        <v>6616059.4286834393</v>
      </c>
    </row>
    <row r="334" spans="6:10" x14ac:dyDescent="0.3">
      <c r="F334" s="389">
        <f t="shared" si="94"/>
        <v>53</v>
      </c>
      <c r="G334" s="608">
        <f t="shared" si="95"/>
        <v>6616059.4286834393</v>
      </c>
      <c r="H334" s="608">
        <f t="shared" si="96"/>
        <v>44107.062857889599</v>
      </c>
      <c r="I334" s="608">
        <f t="shared" si="97"/>
        <v>-121327.59435535692</v>
      </c>
      <c r="J334" s="608">
        <f t="shared" si="98"/>
        <v>6538838.897185972</v>
      </c>
    </row>
    <row r="335" spans="6:10" x14ac:dyDescent="0.3">
      <c r="F335" s="389">
        <f t="shared" si="94"/>
        <v>54</v>
      </c>
      <c r="G335" s="608">
        <f t="shared" si="95"/>
        <v>6538838.897185972</v>
      </c>
      <c r="H335" s="608">
        <f t="shared" si="96"/>
        <v>43592.259314573152</v>
      </c>
      <c r="I335" s="608">
        <f t="shared" si="97"/>
        <v>-121327.59435535692</v>
      </c>
      <c r="J335" s="608">
        <f t="shared" si="98"/>
        <v>6461103.5621451885</v>
      </c>
    </row>
    <row r="336" spans="6:10" x14ac:dyDescent="0.3">
      <c r="F336" s="389">
        <f t="shared" si="94"/>
        <v>55</v>
      </c>
      <c r="G336" s="608">
        <f t="shared" si="95"/>
        <v>6461103.5621451885</v>
      </c>
      <c r="H336" s="608">
        <f t="shared" si="96"/>
        <v>43074.023747634594</v>
      </c>
      <c r="I336" s="608">
        <f t="shared" si="97"/>
        <v>-121327.59435535692</v>
      </c>
      <c r="J336" s="608">
        <f t="shared" si="98"/>
        <v>6382849.9915374657</v>
      </c>
    </row>
    <row r="337" spans="6:10" x14ac:dyDescent="0.3">
      <c r="F337" s="389">
        <f t="shared" si="94"/>
        <v>56</v>
      </c>
      <c r="G337" s="608">
        <f t="shared" si="95"/>
        <v>6382849.9915374657</v>
      </c>
      <c r="H337" s="608">
        <f t="shared" si="96"/>
        <v>42552.333276916441</v>
      </c>
      <c r="I337" s="608">
        <f t="shared" si="97"/>
        <v>-121327.59435535692</v>
      </c>
      <c r="J337" s="608">
        <f t="shared" si="98"/>
        <v>6304074.7304590251</v>
      </c>
    </row>
    <row r="338" spans="6:10" x14ac:dyDescent="0.3">
      <c r="F338" s="389">
        <f t="shared" si="94"/>
        <v>57</v>
      </c>
      <c r="G338" s="608">
        <f t="shared" si="95"/>
        <v>6304074.7304590251</v>
      </c>
      <c r="H338" s="608">
        <f t="shared" si="96"/>
        <v>42027.164869726839</v>
      </c>
      <c r="I338" s="608">
        <f t="shared" si="97"/>
        <v>-121327.59435535692</v>
      </c>
      <c r="J338" s="608">
        <f t="shared" si="98"/>
        <v>6224774.3009733949</v>
      </c>
    </row>
    <row r="339" spans="6:10" x14ac:dyDescent="0.3">
      <c r="F339" s="389">
        <f t="shared" si="94"/>
        <v>58</v>
      </c>
      <c r="G339" s="608">
        <f t="shared" si="95"/>
        <v>6224774.3009733949</v>
      </c>
      <c r="H339" s="608">
        <f t="shared" si="96"/>
        <v>41498.495339822635</v>
      </c>
      <c r="I339" s="608">
        <f t="shared" si="97"/>
        <v>-121327.59435535692</v>
      </c>
      <c r="J339" s="608">
        <f t="shared" si="98"/>
        <v>6144945.201957861</v>
      </c>
    </row>
    <row r="340" spans="6:10" x14ac:dyDescent="0.3">
      <c r="F340" s="389">
        <f t="shared" si="94"/>
        <v>59</v>
      </c>
      <c r="G340" s="608">
        <f t="shared" si="95"/>
        <v>6144945.201957861</v>
      </c>
      <c r="H340" s="608">
        <f t="shared" si="96"/>
        <v>40966.301346385742</v>
      </c>
      <c r="I340" s="608">
        <f t="shared" si="97"/>
        <v>-121327.59435535692</v>
      </c>
      <c r="J340" s="608">
        <f t="shared" si="98"/>
        <v>6064583.9089488899</v>
      </c>
    </row>
    <row r="341" spans="6:10" x14ac:dyDescent="0.3">
      <c r="F341" s="389">
        <f t="shared" si="94"/>
        <v>60</v>
      </c>
      <c r="G341" s="608">
        <f t="shared" si="95"/>
        <v>6064583.9089488899</v>
      </c>
      <c r="H341" s="608">
        <f t="shared" si="96"/>
        <v>40430.559392992604</v>
      </c>
      <c r="I341" s="608">
        <f t="shared" si="97"/>
        <v>-121327.59435535692</v>
      </c>
      <c r="J341" s="608">
        <f t="shared" si="98"/>
        <v>5983686.8739865255</v>
      </c>
    </row>
    <row r="342" spans="6:10" x14ac:dyDescent="0.3">
      <c r="F342" s="389">
        <f t="shared" si="94"/>
        <v>61</v>
      </c>
      <c r="G342" s="608">
        <f t="shared" si="95"/>
        <v>5983686.8739865255</v>
      </c>
      <c r="H342" s="608">
        <f t="shared" si="96"/>
        <v>39891.245826576836</v>
      </c>
      <c r="I342" s="608">
        <f t="shared" si="97"/>
        <v>-121327.59435535692</v>
      </c>
      <c r="J342" s="608">
        <f t="shared" si="98"/>
        <v>5902250.5254577454</v>
      </c>
    </row>
    <row r="343" spans="6:10" x14ac:dyDescent="0.3">
      <c r="F343" s="389">
        <f t="shared" si="94"/>
        <v>62</v>
      </c>
      <c r="G343" s="608">
        <f t="shared" si="95"/>
        <v>5902250.5254577454</v>
      </c>
      <c r="H343" s="608">
        <f t="shared" si="96"/>
        <v>39348.336836384973</v>
      </c>
      <c r="I343" s="608">
        <f t="shared" si="97"/>
        <v>-121327.59435535692</v>
      </c>
      <c r="J343" s="608">
        <f t="shared" si="98"/>
        <v>5820271.2679387731</v>
      </c>
    </row>
    <row r="344" spans="6:10" x14ac:dyDescent="0.3">
      <c r="F344" s="389">
        <f t="shared" si="94"/>
        <v>63</v>
      </c>
      <c r="G344" s="608">
        <f t="shared" si="95"/>
        <v>5820271.2679387731</v>
      </c>
      <c r="H344" s="608">
        <f t="shared" si="96"/>
        <v>38801.808452925157</v>
      </c>
      <c r="I344" s="608">
        <f t="shared" si="97"/>
        <v>-121327.59435535692</v>
      </c>
      <c r="J344" s="608">
        <f t="shared" si="98"/>
        <v>5737745.482036341</v>
      </c>
    </row>
    <row r="345" spans="6:10" x14ac:dyDescent="0.3">
      <c r="F345" s="389">
        <f t="shared" si="94"/>
        <v>64</v>
      </c>
      <c r="G345" s="608">
        <f t="shared" si="95"/>
        <v>5737745.482036341</v>
      </c>
      <c r="H345" s="608">
        <f t="shared" si="96"/>
        <v>38251.636546908943</v>
      </c>
      <c r="I345" s="608">
        <f t="shared" si="97"/>
        <v>-121327.59435535692</v>
      </c>
      <c r="J345" s="608">
        <f t="shared" si="98"/>
        <v>5654669.524227893</v>
      </c>
    </row>
    <row r="346" spans="6:10" x14ac:dyDescent="0.3">
      <c r="F346" s="389">
        <f t="shared" si="94"/>
        <v>65</v>
      </c>
      <c r="G346" s="608">
        <f t="shared" si="95"/>
        <v>5654669.524227893</v>
      </c>
      <c r="H346" s="608">
        <f t="shared" si="96"/>
        <v>37697.796828185958</v>
      </c>
      <c r="I346" s="608">
        <f t="shared" si="97"/>
        <v>-121327.59435535692</v>
      </c>
      <c r="J346" s="608">
        <f t="shared" si="98"/>
        <v>5571039.7267007222</v>
      </c>
    </row>
    <row r="347" spans="6:10" x14ac:dyDescent="0.3">
      <c r="F347" s="389">
        <f t="shared" si="94"/>
        <v>66</v>
      </c>
      <c r="G347" s="608">
        <f t="shared" si="95"/>
        <v>5571039.7267007222</v>
      </c>
      <c r="H347" s="608">
        <f t="shared" si="96"/>
        <v>37140.264844671481</v>
      </c>
      <c r="I347" s="608">
        <f t="shared" si="97"/>
        <v>-121327.59435535692</v>
      </c>
      <c r="J347" s="608">
        <f t="shared" si="98"/>
        <v>5486852.3971900372</v>
      </c>
    </row>
    <row r="348" spans="6:10" x14ac:dyDescent="0.3">
      <c r="F348" s="389">
        <f t="shared" ref="F348:F401" si="99">+F347+1</f>
        <v>67</v>
      </c>
      <c r="G348" s="608">
        <f t="shared" ref="G348:G401" si="100">+J347</f>
        <v>5486852.3971900372</v>
      </c>
      <c r="H348" s="608">
        <f t="shared" ref="H348:H401" si="101">+G348*$C$283</f>
        <v>36579.015981266915</v>
      </c>
      <c r="I348" s="608">
        <f t="shared" ref="I348:I401" si="102">+I347</f>
        <v>-121327.59435535692</v>
      </c>
      <c r="J348" s="608">
        <f t="shared" ref="J348:J401" si="103">SUM(G348:I348)</f>
        <v>5402103.8188159475</v>
      </c>
    </row>
    <row r="349" spans="6:10" x14ac:dyDescent="0.3">
      <c r="F349" s="389">
        <f t="shared" si="99"/>
        <v>68</v>
      </c>
      <c r="G349" s="608">
        <f t="shared" si="100"/>
        <v>5402103.8188159475</v>
      </c>
      <c r="H349" s="608">
        <f t="shared" si="101"/>
        <v>36014.025458772987</v>
      </c>
      <c r="I349" s="608">
        <f t="shared" si="102"/>
        <v>-121327.59435535692</v>
      </c>
      <c r="J349" s="608">
        <f t="shared" si="103"/>
        <v>5316790.2499193633</v>
      </c>
    </row>
    <row r="350" spans="6:10" x14ac:dyDescent="0.3">
      <c r="F350" s="389">
        <f t="shared" si="99"/>
        <v>69</v>
      </c>
      <c r="G350" s="608">
        <f t="shared" si="100"/>
        <v>5316790.2499193633</v>
      </c>
      <c r="H350" s="608">
        <f t="shared" si="101"/>
        <v>35445.268332795757</v>
      </c>
      <c r="I350" s="608">
        <f t="shared" si="102"/>
        <v>-121327.59435535692</v>
      </c>
      <c r="J350" s="608">
        <f t="shared" si="103"/>
        <v>5230907.9238968026</v>
      </c>
    </row>
    <row r="351" spans="6:10" x14ac:dyDescent="0.3">
      <c r="F351" s="389">
        <f t="shared" si="99"/>
        <v>70</v>
      </c>
      <c r="G351" s="608">
        <f t="shared" si="100"/>
        <v>5230907.9238968026</v>
      </c>
      <c r="H351" s="608">
        <f t="shared" si="101"/>
        <v>34872.719492645352</v>
      </c>
      <c r="I351" s="608">
        <f t="shared" si="102"/>
        <v>-121327.59435535692</v>
      </c>
      <c r="J351" s="608">
        <f t="shared" si="103"/>
        <v>5144453.0490340907</v>
      </c>
    </row>
    <row r="352" spans="6:10" x14ac:dyDescent="0.3">
      <c r="F352" s="389">
        <f t="shared" si="99"/>
        <v>71</v>
      </c>
      <c r="G352" s="608">
        <f t="shared" si="100"/>
        <v>5144453.0490340907</v>
      </c>
      <c r="H352" s="608">
        <f t="shared" si="101"/>
        <v>34296.353660227272</v>
      </c>
      <c r="I352" s="608">
        <f t="shared" si="102"/>
        <v>-121327.59435535692</v>
      </c>
      <c r="J352" s="608">
        <f t="shared" si="103"/>
        <v>5057421.8083389616</v>
      </c>
    </row>
    <row r="353" spans="6:10" x14ac:dyDescent="0.3">
      <c r="F353" s="389">
        <f t="shared" si="99"/>
        <v>72</v>
      </c>
      <c r="G353" s="608">
        <f t="shared" si="100"/>
        <v>5057421.8083389616</v>
      </c>
      <c r="H353" s="608">
        <f t="shared" si="101"/>
        <v>33716.145388926416</v>
      </c>
      <c r="I353" s="608">
        <f t="shared" si="102"/>
        <v>-121327.59435535692</v>
      </c>
      <c r="J353" s="608">
        <f t="shared" si="103"/>
        <v>4969810.3593725311</v>
      </c>
    </row>
    <row r="354" spans="6:10" x14ac:dyDescent="0.3">
      <c r="F354" s="389">
        <f t="shared" si="99"/>
        <v>73</v>
      </c>
      <c r="G354" s="608">
        <f t="shared" si="100"/>
        <v>4969810.3593725311</v>
      </c>
      <c r="H354" s="608">
        <f t="shared" si="101"/>
        <v>33132.069062483541</v>
      </c>
      <c r="I354" s="608">
        <f t="shared" si="102"/>
        <v>-121327.59435535692</v>
      </c>
      <c r="J354" s="608">
        <f t="shared" si="103"/>
        <v>4881614.8340796577</v>
      </c>
    </row>
    <row r="355" spans="6:10" x14ac:dyDescent="0.3">
      <c r="F355" s="389">
        <f t="shared" si="99"/>
        <v>74</v>
      </c>
      <c r="G355" s="608">
        <f t="shared" si="100"/>
        <v>4881614.8340796577</v>
      </c>
      <c r="H355" s="608">
        <f t="shared" si="101"/>
        <v>32544.098893864386</v>
      </c>
      <c r="I355" s="608">
        <f t="shared" si="102"/>
        <v>-121327.59435535692</v>
      </c>
      <c r="J355" s="608">
        <f t="shared" si="103"/>
        <v>4792831.3386181649</v>
      </c>
    </row>
    <row r="356" spans="6:10" x14ac:dyDescent="0.3">
      <c r="F356" s="389">
        <f t="shared" si="99"/>
        <v>75</v>
      </c>
      <c r="G356" s="608">
        <f t="shared" si="100"/>
        <v>4792831.3386181649</v>
      </c>
      <c r="H356" s="608">
        <f t="shared" si="101"/>
        <v>31952.2089241211</v>
      </c>
      <c r="I356" s="608">
        <f t="shared" si="102"/>
        <v>-121327.59435535692</v>
      </c>
      <c r="J356" s="608">
        <f t="shared" si="103"/>
        <v>4703455.9531869292</v>
      </c>
    </row>
    <row r="357" spans="6:10" x14ac:dyDescent="0.3">
      <c r="F357" s="389">
        <f t="shared" si="99"/>
        <v>76</v>
      </c>
      <c r="G357" s="608">
        <f t="shared" si="100"/>
        <v>4703455.9531869292</v>
      </c>
      <c r="H357" s="608">
        <f t="shared" si="101"/>
        <v>31356.373021246196</v>
      </c>
      <c r="I357" s="608">
        <f t="shared" si="102"/>
        <v>-121327.59435535692</v>
      </c>
      <c r="J357" s="608">
        <f t="shared" si="103"/>
        <v>4613484.7318528183</v>
      </c>
    </row>
    <row r="358" spans="6:10" x14ac:dyDescent="0.3">
      <c r="F358" s="389">
        <f t="shared" si="99"/>
        <v>77</v>
      </c>
      <c r="G358" s="608">
        <f t="shared" si="100"/>
        <v>4613484.7318528183</v>
      </c>
      <c r="H358" s="608">
        <f t="shared" si="101"/>
        <v>30756.564879018792</v>
      </c>
      <c r="I358" s="608">
        <f t="shared" si="102"/>
        <v>-121327.59435535692</v>
      </c>
      <c r="J358" s="608">
        <f t="shared" si="103"/>
        <v>4522913.7023764802</v>
      </c>
    </row>
    <row r="359" spans="6:10" x14ac:dyDescent="0.3">
      <c r="F359" s="389">
        <f t="shared" si="99"/>
        <v>78</v>
      </c>
      <c r="G359" s="608">
        <f t="shared" si="100"/>
        <v>4522913.7023764802</v>
      </c>
      <c r="H359" s="608">
        <f t="shared" si="101"/>
        <v>30152.758015843203</v>
      </c>
      <c r="I359" s="608">
        <f t="shared" si="102"/>
        <v>-121327.59435535692</v>
      </c>
      <c r="J359" s="608">
        <f t="shared" si="103"/>
        <v>4431738.8660369664</v>
      </c>
    </row>
    <row r="360" spans="6:10" x14ac:dyDescent="0.3">
      <c r="F360" s="389">
        <f t="shared" si="99"/>
        <v>79</v>
      </c>
      <c r="G360" s="608">
        <f t="shared" si="100"/>
        <v>4431738.8660369664</v>
      </c>
      <c r="H360" s="608">
        <f t="shared" si="101"/>
        <v>29544.925773579776</v>
      </c>
      <c r="I360" s="608">
        <f t="shared" si="102"/>
        <v>-121327.59435535692</v>
      </c>
      <c r="J360" s="608">
        <f t="shared" si="103"/>
        <v>4339956.1974551892</v>
      </c>
    </row>
    <row r="361" spans="6:10" x14ac:dyDescent="0.3">
      <c r="F361" s="389">
        <f t="shared" si="99"/>
        <v>80</v>
      </c>
      <c r="G361" s="608">
        <f t="shared" si="100"/>
        <v>4339956.1974551892</v>
      </c>
      <c r="H361" s="608">
        <f t="shared" si="101"/>
        <v>28933.04131636793</v>
      </c>
      <c r="I361" s="608">
        <f t="shared" si="102"/>
        <v>-121327.59435535692</v>
      </c>
      <c r="J361" s="608">
        <f t="shared" si="103"/>
        <v>4247561.6444162</v>
      </c>
    </row>
    <row r="362" spans="6:10" x14ac:dyDescent="0.3">
      <c r="F362" s="389">
        <f t="shared" si="99"/>
        <v>81</v>
      </c>
      <c r="G362" s="608">
        <f t="shared" si="100"/>
        <v>4247561.6444162</v>
      </c>
      <c r="H362" s="608">
        <f t="shared" si="101"/>
        <v>28317.077629441334</v>
      </c>
      <c r="I362" s="608">
        <f t="shared" si="102"/>
        <v>-121327.59435535692</v>
      </c>
      <c r="J362" s="608">
        <f t="shared" si="103"/>
        <v>4154551.1276902845</v>
      </c>
    </row>
    <row r="363" spans="6:10" x14ac:dyDescent="0.3">
      <c r="F363" s="389">
        <f t="shared" si="99"/>
        <v>82</v>
      </c>
      <c r="G363" s="608">
        <f t="shared" si="100"/>
        <v>4154551.1276902845</v>
      </c>
      <c r="H363" s="608">
        <f t="shared" si="101"/>
        <v>27697.007517935232</v>
      </c>
      <c r="I363" s="608">
        <f t="shared" si="102"/>
        <v>-121327.59435535692</v>
      </c>
      <c r="J363" s="608">
        <f t="shared" si="103"/>
        <v>4060920.5408528629</v>
      </c>
    </row>
    <row r="364" spans="6:10" x14ac:dyDescent="0.3">
      <c r="F364" s="389">
        <f t="shared" si="99"/>
        <v>83</v>
      </c>
      <c r="G364" s="608">
        <f t="shared" si="100"/>
        <v>4060920.5408528629</v>
      </c>
      <c r="H364" s="608">
        <f t="shared" si="101"/>
        <v>27072.803605685753</v>
      </c>
      <c r="I364" s="608">
        <f t="shared" si="102"/>
        <v>-121327.59435535692</v>
      </c>
      <c r="J364" s="608">
        <f t="shared" si="103"/>
        <v>3966665.7501031919</v>
      </c>
    </row>
    <row r="365" spans="6:10" x14ac:dyDescent="0.3">
      <c r="F365" s="389">
        <f t="shared" si="99"/>
        <v>84</v>
      </c>
      <c r="G365" s="608">
        <f t="shared" si="100"/>
        <v>3966665.7501031919</v>
      </c>
      <c r="H365" s="608">
        <f t="shared" si="101"/>
        <v>26444.438334021281</v>
      </c>
      <c r="I365" s="608">
        <f t="shared" si="102"/>
        <v>-121327.59435535692</v>
      </c>
      <c r="J365" s="608">
        <f t="shared" si="103"/>
        <v>3871782.5940818563</v>
      </c>
    </row>
    <row r="366" spans="6:10" x14ac:dyDescent="0.3">
      <c r="F366" s="389">
        <f t="shared" si="99"/>
        <v>85</v>
      </c>
      <c r="G366" s="608">
        <f t="shared" si="100"/>
        <v>3871782.5940818563</v>
      </c>
      <c r="H366" s="608">
        <f t="shared" si="101"/>
        <v>25811.883960545711</v>
      </c>
      <c r="I366" s="608">
        <f t="shared" si="102"/>
        <v>-121327.59435535692</v>
      </c>
      <c r="J366" s="608">
        <f t="shared" si="103"/>
        <v>3776266.883687045</v>
      </c>
    </row>
    <row r="367" spans="6:10" x14ac:dyDescent="0.3">
      <c r="F367" s="389">
        <f t="shared" si="99"/>
        <v>86</v>
      </c>
      <c r="G367" s="608">
        <f t="shared" si="100"/>
        <v>3776266.883687045</v>
      </c>
      <c r="H367" s="608">
        <f t="shared" si="101"/>
        <v>25175.112557913635</v>
      </c>
      <c r="I367" s="608">
        <f t="shared" si="102"/>
        <v>-121327.59435535692</v>
      </c>
      <c r="J367" s="608">
        <f t="shared" si="103"/>
        <v>3680114.4018896017</v>
      </c>
    </row>
    <row r="368" spans="6:10" x14ac:dyDescent="0.3">
      <c r="F368" s="389">
        <f t="shared" si="99"/>
        <v>87</v>
      </c>
      <c r="G368" s="608">
        <f t="shared" si="100"/>
        <v>3680114.4018896017</v>
      </c>
      <c r="H368" s="608">
        <f t="shared" si="101"/>
        <v>24534.096012597347</v>
      </c>
      <c r="I368" s="608">
        <f t="shared" si="102"/>
        <v>-121327.59435535692</v>
      </c>
      <c r="J368" s="608">
        <f t="shared" si="103"/>
        <v>3583320.9035468423</v>
      </c>
    </row>
    <row r="369" spans="6:10" x14ac:dyDescent="0.3">
      <c r="F369" s="389">
        <f t="shared" si="99"/>
        <v>88</v>
      </c>
      <c r="G369" s="608">
        <f t="shared" si="100"/>
        <v>3583320.9035468423</v>
      </c>
      <c r="H369" s="608">
        <f t="shared" si="101"/>
        <v>23888.806023645619</v>
      </c>
      <c r="I369" s="608">
        <f t="shared" si="102"/>
        <v>-121327.59435535692</v>
      </c>
      <c r="J369" s="608">
        <f t="shared" si="103"/>
        <v>3485882.1152151311</v>
      </c>
    </row>
    <row r="370" spans="6:10" x14ac:dyDescent="0.3">
      <c r="F370" s="389">
        <f t="shared" si="99"/>
        <v>89</v>
      </c>
      <c r="G370" s="608">
        <f t="shared" si="100"/>
        <v>3485882.1152151311</v>
      </c>
      <c r="H370" s="608">
        <f t="shared" si="101"/>
        <v>23239.214101434209</v>
      </c>
      <c r="I370" s="608">
        <f t="shared" si="102"/>
        <v>-121327.59435535692</v>
      </c>
      <c r="J370" s="608">
        <f t="shared" si="103"/>
        <v>3387793.7349612084</v>
      </c>
    </row>
    <row r="371" spans="6:10" x14ac:dyDescent="0.3">
      <c r="F371" s="389">
        <f t="shared" si="99"/>
        <v>90</v>
      </c>
      <c r="G371" s="608">
        <f t="shared" si="100"/>
        <v>3387793.7349612084</v>
      </c>
      <c r="H371" s="608">
        <f t="shared" si="101"/>
        <v>22585.291566408057</v>
      </c>
      <c r="I371" s="608">
        <f t="shared" si="102"/>
        <v>-121327.59435535692</v>
      </c>
      <c r="J371" s="608">
        <f t="shared" si="103"/>
        <v>3289051.4321722598</v>
      </c>
    </row>
    <row r="372" spans="6:10" x14ac:dyDescent="0.3">
      <c r="F372" s="389">
        <f t="shared" si="99"/>
        <v>91</v>
      </c>
      <c r="G372" s="608">
        <f t="shared" si="100"/>
        <v>3289051.4321722598</v>
      </c>
      <c r="H372" s="608">
        <f t="shared" si="101"/>
        <v>21927.009547815065</v>
      </c>
      <c r="I372" s="608">
        <f t="shared" si="102"/>
        <v>-121327.59435535692</v>
      </c>
      <c r="J372" s="608">
        <f t="shared" si="103"/>
        <v>3189650.8473647181</v>
      </c>
    </row>
    <row r="373" spans="6:10" x14ac:dyDescent="0.3">
      <c r="F373" s="389">
        <f t="shared" si="99"/>
        <v>92</v>
      </c>
      <c r="G373" s="608">
        <f t="shared" si="100"/>
        <v>3189650.8473647181</v>
      </c>
      <c r="H373" s="608">
        <f t="shared" si="101"/>
        <v>21264.338982431454</v>
      </c>
      <c r="I373" s="608">
        <f t="shared" si="102"/>
        <v>-121327.59435535692</v>
      </c>
      <c r="J373" s="608">
        <f t="shared" si="103"/>
        <v>3089587.5919917929</v>
      </c>
    </row>
    <row r="374" spans="6:10" x14ac:dyDescent="0.3">
      <c r="F374" s="389">
        <f t="shared" si="99"/>
        <v>93</v>
      </c>
      <c r="G374" s="608">
        <f t="shared" si="100"/>
        <v>3089587.5919917929</v>
      </c>
      <c r="H374" s="608">
        <f t="shared" si="101"/>
        <v>20597.250613278622</v>
      </c>
      <c r="I374" s="608">
        <f t="shared" si="102"/>
        <v>-121327.59435535692</v>
      </c>
      <c r="J374" s="608">
        <f t="shared" si="103"/>
        <v>2988857.2482497147</v>
      </c>
    </row>
    <row r="375" spans="6:10" x14ac:dyDescent="0.3">
      <c r="F375" s="389">
        <f t="shared" si="99"/>
        <v>94</v>
      </c>
      <c r="G375" s="608">
        <f t="shared" si="100"/>
        <v>2988857.2482497147</v>
      </c>
      <c r="H375" s="608">
        <f t="shared" si="101"/>
        <v>19925.714988331434</v>
      </c>
      <c r="I375" s="608">
        <f t="shared" si="102"/>
        <v>-121327.59435535692</v>
      </c>
      <c r="J375" s="608">
        <f t="shared" si="103"/>
        <v>2887455.3688826892</v>
      </c>
    </row>
    <row r="376" spans="6:10" x14ac:dyDescent="0.3">
      <c r="F376" s="389">
        <f t="shared" si="99"/>
        <v>95</v>
      </c>
      <c r="G376" s="608">
        <f t="shared" si="100"/>
        <v>2887455.3688826892</v>
      </c>
      <c r="H376" s="608">
        <f t="shared" si="101"/>
        <v>19249.70245921793</v>
      </c>
      <c r="I376" s="608">
        <f t="shared" si="102"/>
        <v>-121327.59435535692</v>
      </c>
      <c r="J376" s="608">
        <f t="shared" si="103"/>
        <v>2785377.4769865503</v>
      </c>
    </row>
    <row r="377" spans="6:10" x14ac:dyDescent="0.3">
      <c r="F377" s="389">
        <f t="shared" si="99"/>
        <v>96</v>
      </c>
      <c r="G377" s="608">
        <f t="shared" si="100"/>
        <v>2785377.4769865503</v>
      </c>
      <c r="H377" s="608">
        <f t="shared" si="101"/>
        <v>18569.183179910335</v>
      </c>
      <c r="I377" s="608">
        <f t="shared" si="102"/>
        <v>-121327.59435535692</v>
      </c>
      <c r="J377" s="608">
        <f t="shared" si="103"/>
        <v>2682619.0658111037</v>
      </c>
    </row>
    <row r="378" spans="6:10" x14ac:dyDescent="0.3">
      <c r="F378" s="389">
        <f t="shared" si="99"/>
        <v>97</v>
      </c>
      <c r="G378" s="608">
        <f t="shared" si="100"/>
        <v>2682619.0658111037</v>
      </c>
      <c r="H378" s="608">
        <f t="shared" si="101"/>
        <v>17884.127105407359</v>
      </c>
      <c r="I378" s="608">
        <f t="shared" si="102"/>
        <v>-121327.59435535692</v>
      </c>
      <c r="J378" s="608">
        <f t="shared" si="103"/>
        <v>2579175.5985611542</v>
      </c>
    </row>
    <row r="379" spans="6:10" x14ac:dyDescent="0.3">
      <c r="F379" s="389">
        <f t="shared" si="99"/>
        <v>98</v>
      </c>
      <c r="G379" s="608">
        <f t="shared" si="100"/>
        <v>2579175.5985611542</v>
      </c>
      <c r="H379" s="608">
        <f t="shared" si="101"/>
        <v>17194.503990407695</v>
      </c>
      <c r="I379" s="608">
        <f t="shared" si="102"/>
        <v>-121327.59435535692</v>
      </c>
      <c r="J379" s="608">
        <f t="shared" si="103"/>
        <v>2475042.5081962049</v>
      </c>
    </row>
    <row r="380" spans="6:10" x14ac:dyDescent="0.3">
      <c r="F380" s="389">
        <f t="shared" si="99"/>
        <v>99</v>
      </c>
      <c r="G380" s="608">
        <f t="shared" si="100"/>
        <v>2475042.5081962049</v>
      </c>
      <c r="H380" s="608">
        <f t="shared" si="101"/>
        <v>16500.283387974701</v>
      </c>
      <c r="I380" s="608">
        <f t="shared" si="102"/>
        <v>-121327.59435535692</v>
      </c>
      <c r="J380" s="608">
        <f t="shared" si="103"/>
        <v>2370215.1972288229</v>
      </c>
    </row>
    <row r="381" spans="6:10" x14ac:dyDescent="0.3">
      <c r="F381" s="389">
        <f t="shared" si="99"/>
        <v>100</v>
      </c>
      <c r="G381" s="608">
        <f t="shared" si="100"/>
        <v>2370215.1972288229</v>
      </c>
      <c r="H381" s="608">
        <f t="shared" si="101"/>
        <v>15801.434648192153</v>
      </c>
      <c r="I381" s="608">
        <f t="shared" si="102"/>
        <v>-121327.59435535692</v>
      </c>
      <c r="J381" s="608">
        <f t="shared" si="103"/>
        <v>2264689.037521658</v>
      </c>
    </row>
    <row r="382" spans="6:10" x14ac:dyDescent="0.3">
      <c r="F382" s="389">
        <f t="shared" si="99"/>
        <v>101</v>
      </c>
      <c r="G382" s="608">
        <f t="shared" si="100"/>
        <v>2264689.037521658</v>
      </c>
      <c r="H382" s="608">
        <f t="shared" si="101"/>
        <v>15097.926916811055</v>
      </c>
      <c r="I382" s="608">
        <f t="shared" si="102"/>
        <v>-121327.59435535692</v>
      </c>
      <c r="J382" s="608">
        <f t="shared" si="103"/>
        <v>2158459.3700831123</v>
      </c>
    </row>
    <row r="383" spans="6:10" x14ac:dyDescent="0.3">
      <c r="F383" s="389">
        <f t="shared" si="99"/>
        <v>102</v>
      </c>
      <c r="G383" s="608">
        <f t="shared" si="100"/>
        <v>2158459.3700831123</v>
      </c>
      <c r="H383" s="608">
        <f t="shared" si="101"/>
        <v>14389.729133887417</v>
      </c>
      <c r="I383" s="608">
        <f t="shared" si="102"/>
        <v>-121327.59435535692</v>
      </c>
      <c r="J383" s="608">
        <f t="shared" si="103"/>
        <v>2051521.5048616426</v>
      </c>
    </row>
    <row r="384" spans="6:10" x14ac:dyDescent="0.3">
      <c r="F384" s="389">
        <f t="shared" si="99"/>
        <v>103</v>
      </c>
      <c r="G384" s="608">
        <f t="shared" si="100"/>
        <v>2051521.5048616426</v>
      </c>
      <c r="H384" s="608">
        <f t="shared" si="101"/>
        <v>13676.810032410951</v>
      </c>
      <c r="I384" s="608">
        <f t="shared" si="102"/>
        <v>-121327.59435535692</v>
      </c>
      <c r="J384" s="608">
        <f t="shared" si="103"/>
        <v>1943870.7205386967</v>
      </c>
    </row>
    <row r="385" spans="6:10" x14ac:dyDescent="0.3">
      <c r="F385" s="389">
        <f t="shared" si="99"/>
        <v>104</v>
      </c>
      <c r="G385" s="608">
        <f t="shared" si="100"/>
        <v>1943870.7205386967</v>
      </c>
      <c r="H385" s="608">
        <f t="shared" si="101"/>
        <v>12959.138136924646</v>
      </c>
      <c r="I385" s="608">
        <f t="shared" si="102"/>
        <v>-121327.59435535692</v>
      </c>
      <c r="J385" s="608">
        <f t="shared" si="103"/>
        <v>1835502.2643202646</v>
      </c>
    </row>
    <row r="386" spans="6:10" x14ac:dyDescent="0.3">
      <c r="F386" s="389">
        <f t="shared" si="99"/>
        <v>105</v>
      </c>
      <c r="G386" s="608">
        <f t="shared" si="100"/>
        <v>1835502.2643202646</v>
      </c>
      <c r="H386" s="608">
        <f t="shared" si="101"/>
        <v>12236.681762135098</v>
      </c>
      <c r="I386" s="608">
        <f t="shared" si="102"/>
        <v>-121327.59435535692</v>
      </c>
      <c r="J386" s="608">
        <f t="shared" si="103"/>
        <v>1726411.3517270428</v>
      </c>
    </row>
    <row r="387" spans="6:10" x14ac:dyDescent="0.3">
      <c r="F387" s="389">
        <f t="shared" si="99"/>
        <v>106</v>
      </c>
      <c r="G387" s="608">
        <f t="shared" si="100"/>
        <v>1726411.3517270428</v>
      </c>
      <c r="H387" s="608">
        <f t="shared" si="101"/>
        <v>11509.409011513619</v>
      </c>
      <c r="I387" s="608">
        <f t="shared" si="102"/>
        <v>-121327.59435535692</v>
      </c>
      <c r="J387" s="608">
        <f t="shared" si="103"/>
        <v>1616593.1663831996</v>
      </c>
    </row>
    <row r="388" spans="6:10" x14ac:dyDescent="0.3">
      <c r="F388" s="389">
        <f t="shared" si="99"/>
        <v>107</v>
      </c>
      <c r="G388" s="608">
        <f t="shared" si="100"/>
        <v>1616593.1663831996</v>
      </c>
      <c r="H388" s="608">
        <f t="shared" si="101"/>
        <v>10777.287775887999</v>
      </c>
      <c r="I388" s="608">
        <f t="shared" si="102"/>
        <v>-121327.59435535692</v>
      </c>
      <c r="J388" s="608">
        <f t="shared" si="103"/>
        <v>1506042.8598037309</v>
      </c>
    </row>
    <row r="389" spans="6:10" x14ac:dyDescent="0.3">
      <c r="F389" s="389">
        <f t="shared" si="99"/>
        <v>108</v>
      </c>
      <c r="G389" s="608">
        <f t="shared" si="100"/>
        <v>1506042.8598037309</v>
      </c>
      <c r="H389" s="608">
        <f t="shared" si="101"/>
        <v>10040.285732024873</v>
      </c>
      <c r="I389" s="608">
        <f t="shared" si="102"/>
        <v>-121327.59435535692</v>
      </c>
      <c r="J389" s="608">
        <f t="shared" si="103"/>
        <v>1394755.5511803988</v>
      </c>
    </row>
    <row r="390" spans="6:10" x14ac:dyDescent="0.3">
      <c r="F390" s="389">
        <f t="shared" si="99"/>
        <v>109</v>
      </c>
      <c r="G390" s="608">
        <f t="shared" si="100"/>
        <v>1394755.5511803988</v>
      </c>
      <c r="H390" s="608">
        <f t="shared" si="101"/>
        <v>9298.3703412026589</v>
      </c>
      <c r="I390" s="608">
        <f t="shared" si="102"/>
        <v>-121327.59435535692</v>
      </c>
      <c r="J390" s="608">
        <f t="shared" si="103"/>
        <v>1282726.3271662446</v>
      </c>
    </row>
    <row r="391" spans="6:10" x14ac:dyDescent="0.3">
      <c r="F391" s="389">
        <f t="shared" si="99"/>
        <v>110</v>
      </c>
      <c r="G391" s="608">
        <f t="shared" si="100"/>
        <v>1282726.3271662446</v>
      </c>
      <c r="H391" s="608">
        <f t="shared" si="101"/>
        <v>8551.508847774965</v>
      </c>
      <c r="I391" s="608">
        <f t="shared" si="102"/>
        <v>-121327.59435535692</v>
      </c>
      <c r="J391" s="608">
        <f t="shared" si="103"/>
        <v>1169950.2416586627</v>
      </c>
    </row>
    <row r="392" spans="6:10" x14ac:dyDescent="0.3">
      <c r="F392" s="389">
        <f t="shared" si="99"/>
        <v>111</v>
      </c>
      <c r="G392" s="608">
        <f t="shared" si="100"/>
        <v>1169950.2416586627</v>
      </c>
      <c r="H392" s="608">
        <f t="shared" si="101"/>
        <v>7799.6682777244187</v>
      </c>
      <c r="I392" s="608">
        <f t="shared" si="102"/>
        <v>-121327.59435535692</v>
      </c>
      <c r="J392" s="608">
        <f t="shared" si="103"/>
        <v>1056422.3155810302</v>
      </c>
    </row>
    <row r="393" spans="6:10" x14ac:dyDescent="0.3">
      <c r="F393" s="389">
        <f t="shared" si="99"/>
        <v>112</v>
      </c>
      <c r="G393" s="608">
        <f t="shared" si="100"/>
        <v>1056422.3155810302</v>
      </c>
      <c r="H393" s="608">
        <f t="shared" si="101"/>
        <v>7042.8154372068684</v>
      </c>
      <c r="I393" s="608">
        <f t="shared" si="102"/>
        <v>-121327.59435535692</v>
      </c>
      <c r="J393" s="608">
        <f t="shared" si="103"/>
        <v>942137.5366628801</v>
      </c>
    </row>
    <row r="394" spans="6:10" x14ac:dyDescent="0.3">
      <c r="F394" s="389">
        <f t="shared" si="99"/>
        <v>113</v>
      </c>
      <c r="G394" s="608">
        <f t="shared" si="100"/>
        <v>942137.5366628801</v>
      </c>
      <c r="H394" s="608">
        <f t="shared" si="101"/>
        <v>6280.9169110858675</v>
      </c>
      <c r="I394" s="608">
        <f t="shared" si="102"/>
        <v>-121327.59435535692</v>
      </c>
      <c r="J394" s="608">
        <f t="shared" si="103"/>
        <v>827090.85921860905</v>
      </c>
    </row>
    <row r="395" spans="6:10" x14ac:dyDescent="0.3">
      <c r="F395" s="389">
        <f t="shared" si="99"/>
        <v>114</v>
      </c>
      <c r="G395" s="608">
        <f t="shared" si="100"/>
        <v>827090.85921860905</v>
      </c>
      <c r="H395" s="608">
        <f t="shared" si="101"/>
        <v>5513.939061457394</v>
      </c>
      <c r="I395" s="608">
        <f t="shared" si="102"/>
        <v>-121327.59435535692</v>
      </c>
      <c r="J395" s="608">
        <f t="shared" si="103"/>
        <v>711277.20392470958</v>
      </c>
    </row>
    <row r="396" spans="6:10" x14ac:dyDescent="0.3">
      <c r="F396" s="389">
        <f t="shared" si="99"/>
        <v>115</v>
      </c>
      <c r="G396" s="608">
        <f t="shared" si="100"/>
        <v>711277.20392470958</v>
      </c>
      <c r="H396" s="608">
        <f t="shared" si="101"/>
        <v>4741.848026164731</v>
      </c>
      <c r="I396" s="608">
        <f t="shared" si="102"/>
        <v>-121327.59435535692</v>
      </c>
      <c r="J396" s="608">
        <f t="shared" si="103"/>
        <v>594691.45759551739</v>
      </c>
    </row>
    <row r="397" spans="6:10" x14ac:dyDescent="0.3">
      <c r="F397" s="389">
        <f t="shared" si="99"/>
        <v>116</v>
      </c>
      <c r="G397" s="608">
        <f t="shared" si="100"/>
        <v>594691.45759551739</v>
      </c>
      <c r="H397" s="608">
        <f t="shared" si="101"/>
        <v>3964.6097173034495</v>
      </c>
      <c r="I397" s="608">
        <f t="shared" si="102"/>
        <v>-121327.59435535692</v>
      </c>
      <c r="J397" s="608">
        <f t="shared" si="103"/>
        <v>477328.47295746388</v>
      </c>
    </row>
    <row r="398" spans="6:10" x14ac:dyDescent="0.3">
      <c r="F398" s="389">
        <f t="shared" si="99"/>
        <v>117</v>
      </c>
      <c r="G398" s="608">
        <f t="shared" si="100"/>
        <v>477328.47295746388</v>
      </c>
      <c r="H398" s="608">
        <f t="shared" si="101"/>
        <v>3182.189819716426</v>
      </c>
      <c r="I398" s="608">
        <f t="shared" si="102"/>
        <v>-121327.59435535692</v>
      </c>
      <c r="J398" s="608">
        <f t="shared" si="103"/>
        <v>359183.06842182338</v>
      </c>
    </row>
    <row r="399" spans="6:10" x14ac:dyDescent="0.3">
      <c r="F399" s="389">
        <f t="shared" si="99"/>
        <v>118</v>
      </c>
      <c r="G399" s="608">
        <f t="shared" si="100"/>
        <v>359183.06842182338</v>
      </c>
      <c r="H399" s="608">
        <f t="shared" si="101"/>
        <v>2394.5537894788226</v>
      </c>
      <c r="I399" s="608">
        <f t="shared" si="102"/>
        <v>-121327.59435535692</v>
      </c>
      <c r="J399" s="608">
        <f t="shared" si="103"/>
        <v>240250.02785594529</v>
      </c>
    </row>
    <row r="400" spans="6:10" x14ac:dyDescent="0.3">
      <c r="F400" s="389">
        <f t="shared" si="99"/>
        <v>119</v>
      </c>
      <c r="G400" s="608">
        <f t="shared" si="100"/>
        <v>240250.02785594529</v>
      </c>
      <c r="H400" s="608">
        <f t="shared" si="101"/>
        <v>1601.6668523729686</v>
      </c>
      <c r="I400" s="608">
        <f t="shared" si="102"/>
        <v>-121327.59435535692</v>
      </c>
      <c r="J400" s="608">
        <f t="shared" si="103"/>
        <v>120524.10035296132</v>
      </c>
    </row>
    <row r="401" spans="6:10" x14ac:dyDescent="0.3">
      <c r="F401" s="389">
        <f t="shared" si="99"/>
        <v>120</v>
      </c>
      <c r="G401" s="608">
        <f t="shared" si="100"/>
        <v>120524.10035296132</v>
      </c>
      <c r="H401" s="608">
        <f t="shared" si="101"/>
        <v>803.49400235307553</v>
      </c>
      <c r="I401" s="608">
        <f t="shared" si="102"/>
        <v>-121327.59435535692</v>
      </c>
      <c r="J401" s="611">
        <f t="shared" si="103"/>
        <v>-4.2520696297287941E-8</v>
      </c>
    </row>
  </sheetData>
  <phoneticPr fontId="6" type="noConversion"/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30EF-4149-4EF4-8985-0A3C7BE361D3}">
  <dimension ref="B1:M30"/>
  <sheetViews>
    <sheetView zoomScale="120" zoomScaleNormal="120" workbookViewId="0">
      <selection activeCell="L24" sqref="L24"/>
    </sheetView>
  </sheetViews>
  <sheetFormatPr baseColWidth="10" defaultRowHeight="15" x14ac:dyDescent="0.25"/>
  <cols>
    <col min="1" max="1" width="4.28515625" customWidth="1"/>
    <col min="2" max="2" width="16.140625" bestFit="1" customWidth="1"/>
    <col min="3" max="3" width="8.140625" customWidth="1"/>
    <col min="5" max="5" width="12.7109375" customWidth="1"/>
    <col min="6" max="6" width="8.7109375" customWidth="1"/>
  </cols>
  <sheetData>
    <row r="1" spans="2:13" ht="11.25" customHeight="1" thickBot="1" x14ac:dyDescent="0.3"/>
    <row r="2" spans="2:13" ht="14.25" hidden="1" customHeight="1" thickBot="1" x14ac:dyDescent="0.3"/>
    <row r="3" spans="2:13" ht="14.25" customHeight="1" thickBot="1" x14ac:dyDescent="0.3">
      <c r="B3" s="567" t="s">
        <v>580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9"/>
    </row>
    <row r="4" spans="2:13" x14ac:dyDescent="0.25">
      <c r="B4" s="12"/>
      <c r="C4" s="13"/>
      <c r="D4" s="550"/>
      <c r="E4" s="13"/>
      <c r="F4" s="556"/>
      <c r="G4" s="586"/>
      <c r="H4" s="557"/>
      <c r="I4" s="13"/>
      <c r="J4" s="13"/>
      <c r="K4" s="13"/>
      <c r="L4" s="13"/>
      <c r="M4" s="14"/>
    </row>
    <row r="5" spans="2:13" x14ac:dyDescent="0.25">
      <c r="B5" s="15"/>
      <c r="C5" s="549"/>
      <c r="D5" s="550"/>
      <c r="E5" s="549"/>
      <c r="F5" s="558"/>
      <c r="G5" s="587"/>
      <c r="H5" s="559"/>
      <c r="I5" s="549"/>
      <c r="J5" s="549"/>
      <c r="K5" s="549"/>
      <c r="L5" s="549"/>
      <c r="M5" s="16"/>
    </row>
    <row r="6" spans="2:13" x14ac:dyDescent="0.25">
      <c r="B6" s="15"/>
      <c r="C6" s="549"/>
      <c r="D6" s="550"/>
      <c r="E6" s="549"/>
      <c r="F6" s="558"/>
      <c r="G6" s="565"/>
      <c r="H6" s="559"/>
      <c r="I6" s="549"/>
      <c r="J6" s="549"/>
      <c r="K6" s="549"/>
      <c r="L6" s="549"/>
      <c r="M6" s="16"/>
    </row>
    <row r="7" spans="2:13" x14ac:dyDescent="0.25">
      <c r="B7" s="15"/>
      <c r="C7" s="549"/>
      <c r="D7" s="550"/>
      <c r="E7" s="549"/>
      <c r="F7" s="558"/>
      <c r="G7" s="565"/>
      <c r="H7" s="559"/>
      <c r="I7" s="549"/>
      <c r="J7" s="549"/>
      <c r="K7" s="549"/>
      <c r="L7" s="549"/>
      <c r="M7" s="16"/>
    </row>
    <row r="8" spans="2:13" x14ac:dyDescent="0.25">
      <c r="B8" s="15"/>
      <c r="C8" s="549"/>
      <c r="D8" s="550"/>
      <c r="E8" s="549"/>
      <c r="F8" s="558"/>
      <c r="G8" s="565"/>
      <c r="H8" s="559"/>
      <c r="I8" s="549"/>
      <c r="J8" s="550"/>
      <c r="K8" s="549"/>
      <c r="L8" s="549"/>
      <c r="M8" s="16"/>
    </row>
    <row r="9" spans="2:13" x14ac:dyDescent="0.25">
      <c r="B9" s="15"/>
      <c r="C9" s="549"/>
      <c r="D9" s="550"/>
      <c r="E9" s="549"/>
      <c r="F9" s="558"/>
      <c r="G9" s="565"/>
      <c r="H9" s="559"/>
      <c r="I9" s="549"/>
      <c r="J9" s="550"/>
      <c r="K9" s="549"/>
      <c r="L9" s="549"/>
      <c r="M9" s="16"/>
    </row>
    <row r="10" spans="2:13" x14ac:dyDescent="0.25">
      <c r="B10" s="551"/>
      <c r="C10" s="550"/>
      <c r="D10" s="550"/>
      <c r="E10" s="550"/>
      <c r="F10" s="564"/>
      <c r="G10" s="565"/>
      <c r="H10" s="566"/>
      <c r="I10" s="550"/>
      <c r="J10" s="550"/>
      <c r="K10" s="550"/>
      <c r="L10" s="550"/>
      <c r="M10" s="552"/>
    </row>
    <row r="11" spans="2:13" x14ac:dyDescent="0.25">
      <c r="B11" s="15"/>
      <c r="C11" s="549"/>
      <c r="D11" s="553">
        <v>1</v>
      </c>
      <c r="E11" s="554"/>
      <c r="F11" s="560"/>
      <c r="G11" s="553">
        <v>0.6</v>
      </c>
      <c r="H11" s="561"/>
      <c r="I11" s="554"/>
      <c r="J11" s="553">
        <v>0.4</v>
      </c>
      <c r="K11" s="549"/>
      <c r="L11" s="549"/>
      <c r="M11" s="16"/>
    </row>
    <row r="12" spans="2:13" x14ac:dyDescent="0.25">
      <c r="B12" s="15" t="s">
        <v>569</v>
      </c>
      <c r="C12" s="549"/>
      <c r="D12" s="553"/>
      <c r="E12" s="554"/>
      <c r="F12" s="560"/>
      <c r="G12" s="553"/>
      <c r="H12" s="561"/>
      <c r="I12" s="554"/>
      <c r="J12" s="553"/>
      <c r="K12" s="549"/>
      <c r="L12" s="549"/>
      <c r="M12" s="16"/>
    </row>
    <row r="13" spans="2:13" x14ac:dyDescent="0.25">
      <c r="B13" s="15" t="s">
        <v>565</v>
      </c>
      <c r="C13" s="549"/>
      <c r="D13" s="555">
        <v>10000000</v>
      </c>
      <c r="E13" s="549"/>
      <c r="F13" s="558"/>
      <c r="G13" s="555">
        <v>4000000</v>
      </c>
      <c r="H13" s="559"/>
      <c r="I13" s="549"/>
      <c r="J13" s="555">
        <v>5000000</v>
      </c>
      <c r="K13" s="549"/>
      <c r="L13" s="549"/>
      <c r="M13" s="16"/>
    </row>
    <row r="14" spans="2:13" x14ac:dyDescent="0.25">
      <c r="B14" s="15"/>
      <c r="C14" s="549"/>
      <c r="D14" s="554" t="s">
        <v>566</v>
      </c>
      <c r="E14" s="554"/>
      <c r="F14" s="560"/>
      <c r="G14" s="554" t="s">
        <v>567</v>
      </c>
      <c r="H14" s="561"/>
      <c r="I14" s="554"/>
      <c r="J14" s="554" t="s">
        <v>568</v>
      </c>
      <c r="K14" s="549"/>
      <c r="L14" s="549"/>
      <c r="M14" s="16"/>
    </row>
    <row r="15" spans="2:13" ht="15.75" thickBot="1" x14ac:dyDescent="0.3">
      <c r="B15" s="15"/>
      <c r="C15" s="549"/>
      <c r="D15" s="549"/>
      <c r="E15" s="549"/>
      <c r="F15" s="562"/>
      <c r="G15" s="18"/>
      <c r="H15" s="563"/>
      <c r="I15" s="549"/>
      <c r="J15" s="549"/>
      <c r="K15" s="549"/>
      <c r="L15" s="549"/>
      <c r="M15" s="16"/>
    </row>
    <row r="16" spans="2:13" ht="15.75" thickBot="1" x14ac:dyDescent="0.3">
      <c r="B16" s="570" t="s">
        <v>570</v>
      </c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2"/>
    </row>
    <row r="17" spans="2:13" ht="15.75" thickBot="1" x14ac:dyDescent="0.3"/>
    <row r="18" spans="2:13" x14ac:dyDescent="0.25">
      <c r="B18" s="573" t="s">
        <v>571</v>
      </c>
      <c r="C18" s="574"/>
      <c r="D18" s="574"/>
      <c r="E18" s="575" t="s">
        <v>10</v>
      </c>
      <c r="F18" s="575" t="s">
        <v>42</v>
      </c>
      <c r="G18" s="575" t="s">
        <v>43</v>
      </c>
      <c r="H18" s="13"/>
      <c r="I18" s="13"/>
      <c r="J18" s="575" t="s">
        <v>46</v>
      </c>
      <c r="K18" s="575" t="s">
        <v>148</v>
      </c>
      <c r="L18" s="575" t="s">
        <v>302</v>
      </c>
      <c r="M18" s="576" t="s">
        <v>49</v>
      </c>
    </row>
    <row r="19" spans="2:13" x14ac:dyDescent="0.25">
      <c r="B19" s="15" t="s">
        <v>572</v>
      </c>
      <c r="C19" s="549"/>
      <c r="D19" s="555">
        <v>10000000</v>
      </c>
      <c r="E19" s="549">
        <v>0</v>
      </c>
      <c r="F19" s="577">
        <v>0.05</v>
      </c>
      <c r="G19" s="555">
        <f>D19/(1+F19)^E19</f>
        <v>10000000</v>
      </c>
      <c r="H19" s="549"/>
      <c r="I19" s="549">
        <v>1</v>
      </c>
      <c r="J19" s="555">
        <f>+E30</f>
        <v>7372981.226468198</v>
      </c>
      <c r="K19" s="578">
        <f>+J19*$F$19</f>
        <v>368649.0613234099</v>
      </c>
      <c r="L19" s="549">
        <v>0</v>
      </c>
      <c r="M19" s="26">
        <f>SUM(J19:L19)</f>
        <v>7741630.2877916079</v>
      </c>
    </row>
    <row r="20" spans="2:13" x14ac:dyDescent="0.25">
      <c r="B20" s="15" t="s">
        <v>573</v>
      </c>
      <c r="C20" s="549"/>
      <c r="D20" s="555">
        <f>+G13</f>
        <v>4000000</v>
      </c>
      <c r="E20" s="549">
        <v>3</v>
      </c>
      <c r="F20" s="577">
        <v>0.05</v>
      </c>
      <c r="G20" s="555">
        <f>D20/(1+F20)^E20</f>
        <v>3455350.394125904</v>
      </c>
      <c r="H20" s="549"/>
      <c r="I20" s="549">
        <f>+I19+1</f>
        <v>2</v>
      </c>
      <c r="J20" s="555">
        <f>+M19</f>
        <v>7741630.2877916079</v>
      </c>
      <c r="K20" s="578">
        <f>+J20*$F$19</f>
        <v>387081.51438958041</v>
      </c>
      <c r="L20" s="549">
        <v>0</v>
      </c>
      <c r="M20" s="26">
        <f>SUM(J20:L20)</f>
        <v>8128711.802181188</v>
      </c>
    </row>
    <row r="21" spans="2:13" x14ac:dyDescent="0.25">
      <c r="B21" s="15" t="s">
        <v>574</v>
      </c>
      <c r="C21" s="549"/>
      <c r="D21" s="555">
        <f>+J13</f>
        <v>5000000</v>
      </c>
      <c r="E21" s="549">
        <v>5</v>
      </c>
      <c r="F21" s="577">
        <v>0.05</v>
      </c>
      <c r="G21" s="555">
        <f>D21/(1+F21)^E21</f>
        <v>3917630.832342295</v>
      </c>
      <c r="H21" s="549"/>
      <c r="I21" s="549">
        <f>+I20+1</f>
        <v>3</v>
      </c>
      <c r="J21" s="555">
        <f>+M20</f>
        <v>8128711.802181188</v>
      </c>
      <c r="K21" s="578">
        <f>+J21*$F$19</f>
        <v>406435.59010905941</v>
      </c>
      <c r="L21" s="555">
        <f>-D20</f>
        <v>-4000000</v>
      </c>
      <c r="M21" s="26">
        <f>SUM(J21:L21)</f>
        <v>4535147.3922902476</v>
      </c>
    </row>
    <row r="22" spans="2:13" x14ac:dyDescent="0.25">
      <c r="B22" s="15"/>
      <c r="C22" s="549"/>
      <c r="D22" s="549"/>
      <c r="E22" s="549"/>
      <c r="F22" s="549"/>
      <c r="G22" s="579">
        <f>SUM(G19:G21)</f>
        <v>17372981.226468198</v>
      </c>
      <c r="H22" s="549"/>
      <c r="I22" s="549">
        <f>+I21+1</f>
        <v>4</v>
      </c>
      <c r="J22" s="555">
        <f>+M21</f>
        <v>4535147.3922902476</v>
      </c>
      <c r="K22" s="578">
        <f>+J22*$F$19</f>
        <v>226757.3696145124</v>
      </c>
      <c r="L22" s="549">
        <v>0</v>
      </c>
      <c r="M22" s="26">
        <f>SUM(J22:L22)</f>
        <v>4761904.7619047603</v>
      </c>
    </row>
    <row r="23" spans="2:13" x14ac:dyDescent="0.25">
      <c r="B23" s="15"/>
      <c r="C23" s="549"/>
      <c r="D23" s="554" t="s">
        <v>37</v>
      </c>
      <c r="E23" s="554" t="s">
        <v>38</v>
      </c>
      <c r="F23" s="549"/>
      <c r="G23" s="549"/>
      <c r="H23" s="549"/>
      <c r="I23" s="549">
        <f>+I22+1</f>
        <v>5</v>
      </c>
      <c r="J23" s="555">
        <f>+M22</f>
        <v>4761904.7619047603</v>
      </c>
      <c r="K23" s="578">
        <f>+J23*$F$19</f>
        <v>238095.23809523802</v>
      </c>
      <c r="L23" s="555">
        <f>-D21</f>
        <v>-5000000</v>
      </c>
      <c r="M23" s="26">
        <f>SUM(J23:L23)</f>
        <v>0</v>
      </c>
    </row>
    <row r="24" spans="2:13" x14ac:dyDescent="0.25">
      <c r="B24" s="15" t="s">
        <v>35</v>
      </c>
      <c r="C24" s="549"/>
      <c r="D24" s="555">
        <f>+E25</f>
        <v>17372981.226468198</v>
      </c>
      <c r="E24" s="555"/>
      <c r="F24" s="549"/>
      <c r="G24" s="549"/>
      <c r="H24" s="549"/>
      <c r="I24" s="549"/>
      <c r="J24" s="549"/>
      <c r="K24" s="549"/>
      <c r="L24" s="549"/>
      <c r="M24" s="16"/>
    </row>
    <row r="25" spans="2:13" x14ac:dyDescent="0.25">
      <c r="B25" s="15" t="s">
        <v>575</v>
      </c>
      <c r="C25" s="549"/>
      <c r="D25" s="555"/>
      <c r="E25" s="555">
        <f>+G22</f>
        <v>17372981.226468198</v>
      </c>
      <c r="F25" s="549"/>
      <c r="G25" s="549"/>
      <c r="H25" s="549"/>
      <c r="I25" s="549"/>
      <c r="J25" s="549"/>
      <c r="K25" s="549"/>
      <c r="L25" s="549"/>
      <c r="M25" s="16"/>
    </row>
    <row r="26" spans="2:13" x14ac:dyDescent="0.25">
      <c r="B26" s="15"/>
      <c r="C26" s="549"/>
      <c r="D26" s="549"/>
      <c r="E26" s="549"/>
      <c r="F26" s="549"/>
      <c r="G26" s="549"/>
      <c r="H26" s="549"/>
      <c r="I26" s="549"/>
      <c r="J26" s="580" t="s">
        <v>576</v>
      </c>
      <c r="K26" s="565"/>
      <c r="L26" s="565"/>
      <c r="M26" s="149"/>
    </row>
    <row r="27" spans="2:13" x14ac:dyDescent="0.25">
      <c r="B27" s="15" t="s">
        <v>575</v>
      </c>
      <c r="C27" s="549"/>
      <c r="D27" s="555">
        <f>+G19</f>
        <v>10000000</v>
      </c>
      <c r="E27" s="549"/>
      <c r="F27" s="549"/>
      <c r="G27" s="549"/>
      <c r="H27" s="549"/>
      <c r="I27" s="549"/>
      <c r="J27" s="549" t="s">
        <v>577</v>
      </c>
      <c r="K27" s="555">
        <f>+G19</f>
        <v>10000000</v>
      </c>
      <c r="L27" s="549">
        <v>25</v>
      </c>
      <c r="M27" s="16"/>
    </row>
    <row r="28" spans="2:13" x14ac:dyDescent="0.25">
      <c r="B28" s="15" t="s">
        <v>36</v>
      </c>
      <c r="C28" s="549"/>
      <c r="D28" s="549"/>
      <c r="E28" s="555">
        <f>+D27</f>
        <v>10000000</v>
      </c>
      <c r="F28" s="549"/>
      <c r="G28" s="549"/>
      <c r="H28" s="549"/>
      <c r="I28" s="549"/>
      <c r="J28" s="549" t="s">
        <v>578</v>
      </c>
      <c r="K28" s="555">
        <f>+G20</f>
        <v>3455350.394125904</v>
      </c>
      <c r="L28" s="549">
        <v>22</v>
      </c>
      <c r="M28" s="16"/>
    </row>
    <row r="29" spans="2:13" x14ac:dyDescent="0.25">
      <c r="B29" s="15"/>
      <c r="C29" s="549"/>
      <c r="D29" s="549"/>
      <c r="E29" s="549"/>
      <c r="F29" s="549"/>
      <c r="G29" s="549"/>
      <c r="H29" s="549"/>
      <c r="I29" s="549"/>
      <c r="J29" s="549" t="s">
        <v>579</v>
      </c>
      <c r="K29" s="555">
        <f>+G21</f>
        <v>3917630.832342295</v>
      </c>
      <c r="L29" s="549">
        <v>20</v>
      </c>
      <c r="M29" s="16"/>
    </row>
    <row r="30" spans="2:13" ht="15.75" thickBot="1" x14ac:dyDescent="0.3">
      <c r="B30" s="581" t="s">
        <v>333</v>
      </c>
      <c r="C30" s="582"/>
      <c r="D30" s="582"/>
      <c r="E30" s="583">
        <f>+E25-D27</f>
        <v>7372981.226468198</v>
      </c>
      <c r="F30" s="18"/>
      <c r="G30" s="18"/>
      <c r="H30" s="18"/>
      <c r="I30" s="18"/>
      <c r="J30" s="157"/>
      <c r="K30" s="584">
        <f>SUM(K27:K29)</f>
        <v>17372981.226468198</v>
      </c>
      <c r="L30" s="157"/>
      <c r="M30" s="5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4E7F-1B55-4915-AFBF-0D63A42EB4F9}">
  <dimension ref="A1:K30"/>
  <sheetViews>
    <sheetView tabSelected="1" topLeftCell="A4" zoomScale="115" zoomScaleNormal="115" workbookViewId="0">
      <selection activeCell="B9" sqref="B9"/>
    </sheetView>
  </sheetViews>
  <sheetFormatPr baseColWidth="10" defaultRowHeight="15" x14ac:dyDescent="0.25"/>
  <sheetData>
    <row r="1" spans="1:11" x14ac:dyDescent="0.25">
      <c r="A1" t="s">
        <v>599</v>
      </c>
      <c r="F1" s="12" t="s">
        <v>606</v>
      </c>
      <c r="G1" s="13"/>
      <c r="H1" s="13"/>
      <c r="I1" s="13"/>
      <c r="J1" s="14"/>
    </row>
    <row r="2" spans="1:11" x14ac:dyDescent="0.25">
      <c r="A2" t="s">
        <v>600</v>
      </c>
      <c r="F2" s="15" t="s">
        <v>608</v>
      </c>
      <c r="G2" s="549"/>
      <c r="H2" s="549"/>
      <c r="I2" s="549"/>
      <c r="J2" s="16"/>
    </row>
    <row r="3" spans="1:11" ht="15.75" thickBot="1" x14ac:dyDescent="0.3">
      <c r="A3" t="s">
        <v>601</v>
      </c>
      <c r="F3" s="17" t="s">
        <v>607</v>
      </c>
      <c r="G3" s="18"/>
      <c r="H3" s="18"/>
      <c r="I3" s="18"/>
      <c r="J3" s="19"/>
    </row>
    <row r="4" spans="1:11" x14ac:dyDescent="0.25">
      <c r="A4" t="s">
        <v>602</v>
      </c>
    </row>
    <row r="5" spans="1:11" x14ac:dyDescent="0.25">
      <c r="A5" t="s">
        <v>603</v>
      </c>
    </row>
    <row r="6" spans="1:11" x14ac:dyDescent="0.25">
      <c r="A6" t="s">
        <v>604</v>
      </c>
    </row>
    <row r="8" spans="1:11" x14ac:dyDescent="0.25">
      <c r="A8" s="285" t="s">
        <v>605</v>
      </c>
      <c r="B8" s="124"/>
      <c r="C8" s="124"/>
      <c r="D8" s="124"/>
      <c r="E8" s="124"/>
      <c r="F8" s="124"/>
      <c r="G8" s="124"/>
      <c r="H8" s="124"/>
      <c r="I8" s="124"/>
      <c r="J8" s="124"/>
    </row>
    <row r="10" spans="1:11" x14ac:dyDescent="0.25">
      <c r="D10" s="147"/>
      <c r="E10" s="147"/>
      <c r="I10" s="147" t="s">
        <v>611</v>
      </c>
      <c r="J10" s="147"/>
    </row>
    <row r="11" spans="1:11" x14ac:dyDescent="0.25">
      <c r="D11" s="133" t="s">
        <v>37</v>
      </c>
      <c r="E11" s="133" t="s">
        <v>38</v>
      </c>
      <c r="I11" s="133" t="s">
        <v>37</v>
      </c>
      <c r="J11" s="133" t="s">
        <v>38</v>
      </c>
    </row>
    <row r="13" spans="1:11" x14ac:dyDescent="0.25">
      <c r="A13" t="s">
        <v>609</v>
      </c>
      <c r="D13" s="20">
        <v>100000</v>
      </c>
      <c r="I13">
        <v>0</v>
      </c>
    </row>
    <row r="14" spans="1:11" x14ac:dyDescent="0.25">
      <c r="A14" t="s">
        <v>610</v>
      </c>
      <c r="E14" s="20">
        <f>+D13</f>
        <v>100000</v>
      </c>
      <c r="J14">
        <f>+I13</f>
        <v>0</v>
      </c>
    </row>
    <row r="16" spans="1:11" x14ac:dyDescent="0.25">
      <c r="A16" s="9" t="s">
        <v>609</v>
      </c>
      <c r="B16" s="9"/>
      <c r="C16" s="9"/>
      <c r="D16" s="279">
        <v>10000</v>
      </c>
      <c r="E16" s="9"/>
      <c r="G16" s="167" t="s">
        <v>613</v>
      </c>
      <c r="H16" s="167"/>
      <c r="I16" s="167">
        <f>+D16*K16</f>
        <v>3000</v>
      </c>
      <c r="J16" s="167"/>
      <c r="K16" s="283">
        <v>0.3</v>
      </c>
    </row>
    <row r="17" spans="1:11" ht="15.75" thickBot="1" x14ac:dyDescent="0.3">
      <c r="A17" s="9" t="s">
        <v>612</v>
      </c>
      <c r="B17" s="9"/>
      <c r="C17" s="9"/>
      <c r="D17" s="9"/>
      <c r="E17" s="279">
        <f>+D16</f>
        <v>10000</v>
      </c>
      <c r="G17" s="374" t="s">
        <v>614</v>
      </c>
      <c r="H17" s="374"/>
      <c r="I17" s="374"/>
      <c r="J17" s="374">
        <f>+I16</f>
        <v>3000</v>
      </c>
    </row>
    <row r="18" spans="1:11" x14ac:dyDescent="0.25">
      <c r="E18" s="12"/>
      <c r="F18" s="13"/>
      <c r="G18" s="618" t="s">
        <v>173</v>
      </c>
      <c r="H18" s="618" t="s">
        <v>174</v>
      </c>
      <c r="I18" s="618" t="s">
        <v>82</v>
      </c>
      <c r="J18" s="619" t="s">
        <v>616</v>
      </c>
    </row>
    <row r="19" spans="1:11" ht="15.75" thickBot="1" x14ac:dyDescent="0.3">
      <c r="E19" s="17" t="s">
        <v>615</v>
      </c>
      <c r="F19" s="18"/>
      <c r="G19" s="101">
        <f>+D13+D16</f>
        <v>110000</v>
      </c>
      <c r="H19" s="101">
        <f>+D13</f>
        <v>100000</v>
      </c>
      <c r="I19" s="101">
        <f>+G19-H19</f>
        <v>10000</v>
      </c>
      <c r="J19" s="617">
        <f>+I19*30%</f>
        <v>3000</v>
      </c>
    </row>
    <row r="21" spans="1:11" x14ac:dyDescent="0.25">
      <c r="A21" s="9" t="s">
        <v>609</v>
      </c>
      <c r="B21" s="9"/>
      <c r="C21" s="9"/>
      <c r="D21" s="279">
        <v>15000</v>
      </c>
      <c r="E21" s="9"/>
      <c r="G21" s="167" t="s">
        <v>613</v>
      </c>
      <c r="H21" s="167"/>
      <c r="I21" s="167">
        <f>+D21*K21</f>
        <v>4500</v>
      </c>
      <c r="J21" s="167"/>
      <c r="K21" s="283">
        <v>0.3</v>
      </c>
    </row>
    <row r="22" spans="1:11" ht="15.75" thickBot="1" x14ac:dyDescent="0.3">
      <c r="A22" s="9" t="s">
        <v>612</v>
      </c>
      <c r="B22" s="9"/>
      <c r="C22" s="9"/>
      <c r="D22" s="9"/>
      <c r="E22" s="279">
        <f>+D21</f>
        <v>15000</v>
      </c>
      <c r="G22" s="167" t="s">
        <v>614</v>
      </c>
      <c r="H22" s="167"/>
      <c r="I22" s="167"/>
      <c r="J22" s="167">
        <f>+I21</f>
        <v>4500</v>
      </c>
    </row>
    <row r="23" spans="1:11" x14ac:dyDescent="0.25">
      <c r="E23" s="12"/>
      <c r="F23" s="13"/>
      <c r="G23" s="618" t="s">
        <v>173</v>
      </c>
      <c r="H23" s="618" t="s">
        <v>174</v>
      </c>
      <c r="I23" s="618" t="s">
        <v>82</v>
      </c>
      <c r="J23" s="619" t="s">
        <v>616</v>
      </c>
    </row>
    <row r="24" spans="1:11" ht="15.75" thickBot="1" x14ac:dyDescent="0.3">
      <c r="E24" s="17" t="s">
        <v>615</v>
      </c>
      <c r="F24" s="18"/>
      <c r="G24" s="101">
        <f>+D13+D16+D21</f>
        <v>125000</v>
      </c>
      <c r="H24" s="101">
        <f>+H19</f>
        <v>100000</v>
      </c>
      <c r="I24" s="101">
        <f>+G24-H24</f>
        <v>25000</v>
      </c>
      <c r="J24" s="617">
        <f>+I24*30%</f>
        <v>7500</v>
      </c>
    </row>
    <row r="26" spans="1:11" x14ac:dyDescent="0.25">
      <c r="A26" s="9" t="s">
        <v>609</v>
      </c>
      <c r="B26" s="9"/>
      <c r="C26" s="9"/>
      <c r="D26" s="279">
        <v>13000</v>
      </c>
      <c r="E26" s="9"/>
      <c r="G26" s="167" t="s">
        <v>613</v>
      </c>
      <c r="H26" s="167"/>
      <c r="I26" s="167">
        <f>+D26*K26</f>
        <v>3900</v>
      </c>
      <c r="J26" s="167"/>
      <c r="K26" s="283">
        <v>0.3</v>
      </c>
    </row>
    <row r="27" spans="1:11" x14ac:dyDescent="0.25">
      <c r="A27" s="9" t="s">
        <v>612</v>
      </c>
      <c r="B27" s="9"/>
      <c r="C27" s="9"/>
      <c r="D27" s="9"/>
      <c r="E27" s="279">
        <f>+D26</f>
        <v>13000</v>
      </c>
      <c r="G27" s="167" t="s">
        <v>614</v>
      </c>
      <c r="H27" s="167"/>
      <c r="I27" s="167"/>
      <c r="J27" s="167">
        <f>+I26</f>
        <v>3900</v>
      </c>
    </row>
    <row r="28" spans="1:11" ht="15.75" thickBot="1" x14ac:dyDescent="0.3">
      <c r="G28" s="616" t="s">
        <v>614</v>
      </c>
      <c r="H28" s="616"/>
      <c r="I28" s="616"/>
      <c r="J28" s="323">
        <f>+J17+J22+J27</f>
        <v>11400</v>
      </c>
    </row>
    <row r="29" spans="1:11" x14ac:dyDescent="0.25">
      <c r="E29" s="12"/>
      <c r="F29" s="13"/>
      <c r="G29" s="618" t="s">
        <v>173</v>
      </c>
      <c r="H29" s="618" t="s">
        <v>174</v>
      </c>
      <c r="I29" s="618" t="s">
        <v>82</v>
      </c>
      <c r="J29" s="619" t="s">
        <v>616</v>
      </c>
    </row>
    <row r="30" spans="1:11" ht="15.75" thickBot="1" x14ac:dyDescent="0.3">
      <c r="E30" s="17" t="s">
        <v>615</v>
      </c>
      <c r="F30" s="18"/>
      <c r="G30" s="101">
        <f>+D13+D16+D21+D26</f>
        <v>138000</v>
      </c>
      <c r="H30" s="101">
        <f>+D13</f>
        <v>100000</v>
      </c>
      <c r="I30" s="101">
        <f>+G30-H30</f>
        <v>38000</v>
      </c>
      <c r="J30" s="617">
        <f>+I30*K26</f>
        <v>11400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4D4F-B615-4CCE-8F7D-DA4834E8FE09}">
  <dimension ref="A1:S30"/>
  <sheetViews>
    <sheetView zoomScale="120" zoomScaleNormal="120" workbookViewId="0">
      <selection activeCell="R7" sqref="R3:R7"/>
    </sheetView>
  </sheetViews>
  <sheetFormatPr baseColWidth="10" defaultRowHeight="15" x14ac:dyDescent="0.25"/>
  <cols>
    <col min="1" max="1" width="12.7109375" style="162" customWidth="1"/>
    <col min="2" max="2" width="11.42578125" style="162" customWidth="1"/>
    <col min="3" max="3" width="5.42578125" style="162" customWidth="1"/>
    <col min="4" max="11" width="11.42578125" style="162" customWidth="1"/>
    <col min="12" max="12" width="3" style="162" customWidth="1"/>
    <col min="13" max="13" width="7.42578125" style="162" bestFit="1" customWidth="1"/>
    <col min="14" max="14" width="11.5703125" style="162" bestFit="1" customWidth="1"/>
    <col min="15" max="15" width="11.42578125" style="162"/>
    <col min="16" max="16" width="9.42578125" style="162" bestFit="1" customWidth="1"/>
    <col min="17" max="16384" width="11.42578125" style="162"/>
  </cols>
  <sheetData>
    <row r="1" spans="1:19" ht="15.75" thickBot="1" x14ac:dyDescent="0.3">
      <c r="A1" s="163" t="s">
        <v>151</v>
      </c>
      <c r="J1" s="163" t="s">
        <v>152</v>
      </c>
      <c r="K1" s="164">
        <v>0.3</v>
      </c>
    </row>
    <row r="2" spans="1:19" ht="15.75" thickBot="1" x14ac:dyDescent="0.3">
      <c r="A2" s="167" t="s">
        <v>166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M2" s="222"/>
      <c r="N2" s="185" t="s">
        <v>171</v>
      </c>
      <c r="O2" s="185"/>
      <c r="P2" s="185"/>
      <c r="Q2" s="185"/>
      <c r="R2" s="185"/>
      <c r="S2" s="186"/>
    </row>
    <row r="3" spans="1:19" ht="15.75" thickBot="1" x14ac:dyDescent="0.3">
      <c r="D3" s="165" t="s">
        <v>57</v>
      </c>
      <c r="E3" s="165" t="s">
        <v>57</v>
      </c>
      <c r="F3" s="166" t="s">
        <v>58</v>
      </c>
      <c r="G3" s="166" t="s">
        <v>58</v>
      </c>
      <c r="H3" s="165" t="s">
        <v>59</v>
      </c>
      <c r="I3" s="165" t="s">
        <v>59</v>
      </c>
      <c r="J3" s="166" t="s">
        <v>60</v>
      </c>
      <c r="K3" s="166" t="s">
        <v>60</v>
      </c>
      <c r="M3" s="189"/>
      <c r="N3" s="226" t="s">
        <v>51</v>
      </c>
      <c r="O3" s="227" t="s">
        <v>172</v>
      </c>
      <c r="P3" s="227" t="s">
        <v>173</v>
      </c>
      <c r="Q3" s="227" t="s">
        <v>174</v>
      </c>
      <c r="R3" s="228" t="s">
        <v>82</v>
      </c>
      <c r="S3" s="221" t="s">
        <v>175</v>
      </c>
    </row>
    <row r="4" spans="1:19" x14ac:dyDescent="0.25">
      <c r="A4" s="163" t="s">
        <v>163</v>
      </c>
      <c r="D4" s="165" t="s">
        <v>37</v>
      </c>
      <c r="E4" s="165" t="s">
        <v>38</v>
      </c>
      <c r="F4" s="166" t="s">
        <v>37</v>
      </c>
      <c r="G4" s="166" t="s">
        <v>38</v>
      </c>
      <c r="H4" s="165" t="s">
        <v>37</v>
      </c>
      <c r="I4" s="165" t="s">
        <v>38</v>
      </c>
      <c r="J4" s="166" t="s">
        <v>37</v>
      </c>
      <c r="K4" s="166" t="s">
        <v>38</v>
      </c>
      <c r="M4" s="189" t="s">
        <v>57</v>
      </c>
      <c r="N4" s="24">
        <v>500000</v>
      </c>
      <c r="O4" s="24">
        <f>+-E7</f>
        <v>-100000</v>
      </c>
      <c r="P4" s="24">
        <f>+N4+O4</f>
        <v>400000</v>
      </c>
      <c r="Q4" s="24">
        <f>+N4</f>
        <v>500000</v>
      </c>
      <c r="R4" s="24">
        <f>+Q4-P4</f>
        <v>100000</v>
      </c>
      <c r="S4" s="229">
        <f>+R4*$K$1</f>
        <v>30000</v>
      </c>
    </row>
    <row r="5" spans="1:19" x14ac:dyDescent="0.25">
      <c r="A5" s="162" t="s">
        <v>153</v>
      </c>
      <c r="D5" s="193">
        <v>100000</v>
      </c>
      <c r="F5" s="193">
        <v>90000</v>
      </c>
      <c r="H5" s="193">
        <v>80000</v>
      </c>
      <c r="J5" s="193"/>
      <c r="K5" s="163">
        <f>+I7</f>
        <v>270000</v>
      </c>
      <c r="M5" s="189" t="s">
        <v>58</v>
      </c>
      <c r="N5" s="24">
        <v>520000</v>
      </c>
      <c r="O5" s="24">
        <f>-G7</f>
        <v>-190000</v>
      </c>
      <c r="P5" s="24">
        <f>+N5+O5</f>
        <v>330000</v>
      </c>
      <c r="Q5" s="24">
        <f>+N5</f>
        <v>520000</v>
      </c>
      <c r="R5" s="24">
        <f>+Q5-P5</f>
        <v>190000</v>
      </c>
      <c r="S5" s="217">
        <f>+R5*$K$1</f>
        <v>57000</v>
      </c>
    </row>
    <row r="6" spans="1:19" x14ac:dyDescent="0.25">
      <c r="A6" s="162" t="s">
        <v>154</v>
      </c>
      <c r="E6" s="162">
        <f>+D5</f>
        <v>100000</v>
      </c>
      <c r="G6" s="162">
        <f>+F5</f>
        <v>90000</v>
      </c>
      <c r="I6" s="162">
        <f>+H5</f>
        <v>80000</v>
      </c>
      <c r="J6" s="162">
        <f>+K5</f>
        <v>270000</v>
      </c>
      <c r="M6" s="189" t="s">
        <v>59</v>
      </c>
      <c r="N6" s="24">
        <v>540000</v>
      </c>
      <c r="O6" s="24">
        <f>-I7</f>
        <v>-270000</v>
      </c>
      <c r="P6" s="24">
        <f>+N6+O6</f>
        <v>270000</v>
      </c>
      <c r="Q6" s="24">
        <f>+N6</f>
        <v>540000</v>
      </c>
      <c r="R6" s="24">
        <f>+Q6-P6</f>
        <v>270000</v>
      </c>
      <c r="S6" s="217">
        <f>+R6*$K$1</f>
        <v>81000</v>
      </c>
    </row>
    <row r="7" spans="1:19" ht="15.75" thickBot="1" x14ac:dyDescent="0.3">
      <c r="A7" s="168" t="s">
        <v>154</v>
      </c>
      <c r="B7" s="169"/>
      <c r="C7" s="169" t="s">
        <v>155</v>
      </c>
      <c r="D7" s="169"/>
      <c r="E7" s="169">
        <f>+E6</f>
        <v>100000</v>
      </c>
      <c r="F7" s="169"/>
      <c r="G7" s="169">
        <f>+E7+G6</f>
        <v>190000</v>
      </c>
      <c r="H7" s="169"/>
      <c r="I7" s="169">
        <f>+G7+I6</f>
        <v>270000</v>
      </c>
      <c r="J7" s="169"/>
      <c r="K7" s="170">
        <f>+I7-J6</f>
        <v>0</v>
      </c>
      <c r="M7" s="224" t="s">
        <v>60</v>
      </c>
      <c r="N7" s="225">
        <v>640000</v>
      </c>
      <c r="O7" s="225">
        <f>-K7</f>
        <v>0</v>
      </c>
      <c r="P7" s="225">
        <f>+N7+O7</f>
        <v>640000</v>
      </c>
      <c r="Q7" s="225">
        <f>+N7</f>
        <v>640000</v>
      </c>
      <c r="R7" s="225">
        <f>+Q7-P7</f>
        <v>0</v>
      </c>
      <c r="S7" s="220">
        <f>+R7*$K$1</f>
        <v>0</v>
      </c>
    </row>
    <row r="8" spans="1:19" ht="14.25" customHeight="1" thickBot="1" x14ac:dyDescent="0.3"/>
    <row r="9" spans="1:19" ht="15.75" thickBot="1" x14ac:dyDescent="0.3">
      <c r="A9" s="168" t="s">
        <v>158</v>
      </c>
      <c r="B9" s="169"/>
      <c r="C9" s="169"/>
      <c r="D9" s="169"/>
      <c r="E9" s="169"/>
      <c r="F9" s="169"/>
      <c r="G9" s="169"/>
      <c r="H9" s="169"/>
      <c r="I9" s="169"/>
      <c r="J9" s="169"/>
      <c r="K9" s="170"/>
      <c r="M9" s="230" t="s">
        <v>176</v>
      </c>
      <c r="N9" s="231"/>
      <c r="O9" s="232"/>
    </row>
    <row r="10" spans="1:19" x14ac:dyDescent="0.25">
      <c r="A10" s="177" t="s">
        <v>92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19" x14ac:dyDescent="0.25">
      <c r="A11" s="180" t="s">
        <v>156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M11" s="163" t="s">
        <v>177</v>
      </c>
    </row>
    <row r="12" spans="1:19" x14ac:dyDescent="0.25">
      <c r="A12" s="180" t="s">
        <v>157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2"/>
    </row>
    <row r="13" spans="1:19" x14ac:dyDescent="0.25">
      <c r="A13" s="180" t="s">
        <v>94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</row>
    <row r="14" spans="1:19" x14ac:dyDescent="0.25">
      <c r="A14" s="180" t="s">
        <v>94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2"/>
    </row>
    <row r="15" spans="1:19" s="163" customFormat="1" x14ac:dyDescent="0.25">
      <c r="A15" s="198" t="s">
        <v>95</v>
      </c>
      <c r="B15" s="194"/>
      <c r="C15" s="194"/>
      <c r="D15" s="194"/>
      <c r="E15" s="194">
        <v>1200000</v>
      </c>
      <c r="F15" s="194"/>
      <c r="G15" s="194">
        <v>1300000</v>
      </c>
      <c r="H15" s="194"/>
      <c r="I15" s="194">
        <v>1500000</v>
      </c>
      <c r="J15" s="194"/>
      <c r="K15" s="199">
        <v>2000000</v>
      </c>
    </row>
    <row r="16" spans="1:19" x14ac:dyDescent="0.25">
      <c r="A16" s="171" t="s">
        <v>167</v>
      </c>
      <c r="B16" s="172"/>
      <c r="C16" s="172"/>
      <c r="D16" s="172"/>
      <c r="E16" s="172">
        <f>+E28</f>
        <v>-390000</v>
      </c>
      <c r="F16" s="172"/>
      <c r="G16" s="172">
        <f>+G28</f>
        <v>-417000</v>
      </c>
      <c r="H16" s="172"/>
      <c r="I16" s="172">
        <f>+I28</f>
        <v>-474000</v>
      </c>
      <c r="J16" s="172"/>
      <c r="K16" s="173">
        <f>+K28</f>
        <v>-519000</v>
      </c>
    </row>
    <row r="17" spans="1:11" x14ac:dyDescent="0.25">
      <c r="A17" s="174" t="s">
        <v>168</v>
      </c>
      <c r="B17" s="175"/>
      <c r="C17" s="175"/>
      <c r="D17" s="175"/>
      <c r="E17" s="175">
        <f>E29</f>
        <v>30000</v>
      </c>
      <c r="F17" s="175"/>
      <c r="G17" s="175">
        <f>G29</f>
        <v>27000</v>
      </c>
      <c r="H17" s="175"/>
      <c r="I17" s="175">
        <f>I29</f>
        <v>24000</v>
      </c>
      <c r="J17" s="175"/>
      <c r="K17" s="175">
        <f>K29</f>
        <v>-81000</v>
      </c>
    </row>
    <row r="18" spans="1:11" s="163" customFormat="1" x14ac:dyDescent="0.25">
      <c r="A18" s="198" t="s">
        <v>99</v>
      </c>
      <c r="B18" s="194"/>
      <c r="C18" s="194"/>
      <c r="D18" s="194"/>
      <c r="E18" s="194">
        <f>SUM(E15:E17)</f>
        <v>840000</v>
      </c>
      <c r="F18" s="194"/>
      <c r="G18" s="194">
        <f>SUM(G15:G17)</f>
        <v>910000</v>
      </c>
      <c r="H18" s="194"/>
      <c r="I18" s="194">
        <f>SUM(I15:I17)</f>
        <v>1050000</v>
      </c>
      <c r="J18" s="194"/>
      <c r="K18" s="199">
        <f>SUM(K15:K17)</f>
        <v>1400000</v>
      </c>
    </row>
    <row r="19" spans="1:11" x14ac:dyDescent="0.25">
      <c r="A19" s="163" t="s">
        <v>164</v>
      </c>
      <c r="E19" s="203">
        <v>0.7</v>
      </c>
      <c r="F19" s="204"/>
      <c r="G19" s="203">
        <v>0.7</v>
      </c>
      <c r="H19" s="204"/>
      <c r="I19" s="203">
        <v>0.7</v>
      </c>
      <c r="J19" s="204"/>
      <c r="K19" s="203">
        <v>0.7</v>
      </c>
    </row>
    <row r="20" spans="1:11" x14ac:dyDescent="0.25">
      <c r="A20" s="163" t="s">
        <v>164</v>
      </c>
      <c r="E20" s="203">
        <f>+E18/E15</f>
        <v>0.7</v>
      </c>
      <c r="F20" s="204"/>
      <c r="G20" s="203">
        <f>+G18/G15</f>
        <v>0.7</v>
      </c>
      <c r="H20" s="204"/>
      <c r="I20" s="203">
        <f>+I18/I15</f>
        <v>0.7</v>
      </c>
      <c r="J20" s="204"/>
      <c r="K20" s="203">
        <f>+K18/K15</f>
        <v>0.7</v>
      </c>
    </row>
    <row r="21" spans="1:11" x14ac:dyDescent="0.25">
      <c r="A21" s="205" t="s">
        <v>165</v>
      </c>
      <c r="B21" s="206"/>
      <c r="C21" s="206"/>
      <c r="D21" s="206"/>
      <c r="E21" s="207">
        <f>-(E16+E17)/E15</f>
        <v>0.3</v>
      </c>
      <c r="F21" s="208"/>
      <c r="G21" s="207">
        <f>-(G16+G17)/G15</f>
        <v>0.3</v>
      </c>
      <c r="H21" s="208"/>
      <c r="I21" s="207">
        <f>-(I16+I17)/I15</f>
        <v>0.3</v>
      </c>
      <c r="J21" s="208"/>
      <c r="K21" s="207">
        <f>-(K16+K17)/K15</f>
        <v>0.3</v>
      </c>
    </row>
    <row r="22" spans="1:11" ht="15.75" thickBot="1" x14ac:dyDescent="0.3"/>
    <row r="23" spans="1:11" x14ac:dyDescent="0.25">
      <c r="A23" s="190" t="s">
        <v>160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 x14ac:dyDescent="0.25">
      <c r="A24" s="187" t="s">
        <v>95</v>
      </c>
      <c r="B24" s="183"/>
      <c r="C24" s="183"/>
      <c r="D24" s="183"/>
      <c r="E24" s="183">
        <f>+E15</f>
        <v>1200000</v>
      </c>
      <c r="F24" s="183"/>
      <c r="G24" s="183">
        <f>+G15</f>
        <v>1300000</v>
      </c>
      <c r="H24" s="183"/>
      <c r="I24" s="183">
        <f>+I15</f>
        <v>1500000</v>
      </c>
      <c r="J24" s="183"/>
      <c r="K24" s="188">
        <f>+K15</f>
        <v>2000000</v>
      </c>
    </row>
    <row r="25" spans="1:11" x14ac:dyDescent="0.25">
      <c r="A25" s="209" t="s">
        <v>161</v>
      </c>
      <c r="B25" s="210"/>
      <c r="C25" s="210"/>
      <c r="D25" s="210"/>
      <c r="E25" s="210">
        <f>+D5</f>
        <v>100000</v>
      </c>
      <c r="F25" s="210"/>
      <c r="G25" s="210">
        <f>+F5</f>
        <v>90000</v>
      </c>
      <c r="H25" s="210"/>
      <c r="I25" s="210">
        <f>+H5</f>
        <v>80000</v>
      </c>
      <c r="J25" s="210"/>
      <c r="K25" s="211">
        <f>+J5</f>
        <v>0</v>
      </c>
    </row>
    <row r="26" spans="1:11" x14ac:dyDescent="0.25">
      <c r="A26" s="189" t="s">
        <v>162</v>
      </c>
      <c r="B26" s="24"/>
      <c r="C26" s="24"/>
      <c r="D26" s="24"/>
      <c r="E26" s="24"/>
      <c r="F26" s="24"/>
      <c r="G26" s="24"/>
      <c r="H26" s="24"/>
      <c r="I26" s="24"/>
      <c r="J26" s="24"/>
      <c r="K26" s="27">
        <f>-K5</f>
        <v>-270000</v>
      </c>
    </row>
    <row r="27" spans="1:11" s="163" customFormat="1" x14ac:dyDescent="0.25">
      <c r="A27" s="195" t="s">
        <v>78</v>
      </c>
      <c r="B27" s="196"/>
      <c r="C27" s="196"/>
      <c r="D27" s="196"/>
      <c r="E27" s="196">
        <f>SUM(E24:E26)</f>
        <v>1300000</v>
      </c>
      <c r="F27" s="196"/>
      <c r="G27" s="196">
        <f t="shared" ref="G27:K27" si="0">SUM(G24:G26)</f>
        <v>1390000</v>
      </c>
      <c r="H27" s="196"/>
      <c r="I27" s="196">
        <f t="shared" si="0"/>
        <v>1580000</v>
      </c>
      <c r="J27" s="196"/>
      <c r="K27" s="197">
        <f t="shared" si="0"/>
        <v>1730000</v>
      </c>
    </row>
    <row r="28" spans="1:11" s="163" customFormat="1" ht="15.75" thickBot="1" x14ac:dyDescent="0.3">
      <c r="A28" s="200" t="s">
        <v>159</v>
      </c>
      <c r="B28" s="201"/>
      <c r="C28" s="201"/>
      <c r="D28" s="201"/>
      <c r="E28" s="201">
        <f>-+E27*$K$1</f>
        <v>-390000</v>
      </c>
      <c r="F28" s="201"/>
      <c r="G28" s="201">
        <f>-+G27*$K$1</f>
        <v>-417000</v>
      </c>
      <c r="H28" s="201"/>
      <c r="I28" s="201">
        <f>-+I27*$K$1</f>
        <v>-474000</v>
      </c>
      <c r="J28" s="201"/>
      <c r="K28" s="202">
        <f>-+K27*$K$1</f>
        <v>-519000</v>
      </c>
    </row>
    <row r="29" spans="1:11" ht="15.75" thickBot="1" x14ac:dyDescent="0.3">
      <c r="A29" s="212" t="s">
        <v>169</v>
      </c>
      <c r="B29" s="213"/>
      <c r="C29" s="213"/>
      <c r="D29" s="213"/>
      <c r="E29" s="213">
        <f>+E25*$K$1</f>
        <v>30000</v>
      </c>
      <c r="F29" s="213"/>
      <c r="G29" s="213">
        <f>+G25*$K$1</f>
        <v>27000</v>
      </c>
      <c r="H29" s="213"/>
      <c r="I29" s="213">
        <f>+I25*$K$1</f>
        <v>24000</v>
      </c>
      <c r="J29" s="213"/>
      <c r="K29" s="214">
        <f>+K26*$K$1</f>
        <v>-81000</v>
      </c>
    </row>
    <row r="30" spans="1:11" ht="15.75" thickBot="1" x14ac:dyDescent="0.3">
      <c r="A30" s="215" t="s">
        <v>170</v>
      </c>
      <c r="B30" s="216"/>
      <c r="C30" s="216"/>
      <c r="D30" s="216"/>
      <c r="E30" s="218">
        <f>+E17</f>
        <v>30000</v>
      </c>
      <c r="F30" s="216"/>
      <c r="G30" s="218">
        <f>+E30+G17</f>
        <v>57000</v>
      </c>
      <c r="H30" s="216"/>
      <c r="I30" s="218">
        <f>+G30+I17</f>
        <v>81000</v>
      </c>
      <c r="J30" s="216"/>
      <c r="K30" s="219">
        <f>+I30+K17</f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C1FC-3F55-4D47-B004-784AE46D9220}">
  <dimension ref="A1:R61"/>
  <sheetViews>
    <sheetView workbookViewId="0">
      <selection activeCell="Q21" sqref="Q21"/>
    </sheetView>
  </sheetViews>
  <sheetFormatPr baseColWidth="10" defaultRowHeight="21" x14ac:dyDescent="0.35"/>
  <cols>
    <col min="1" max="1" width="14.85546875" style="28" bestFit="1" customWidth="1"/>
    <col min="2" max="2" width="13.140625" style="28" bestFit="1" customWidth="1"/>
    <col min="3" max="3" width="2.28515625" style="28" customWidth="1"/>
    <col min="4" max="5" width="11.42578125" style="28"/>
    <col min="6" max="6" width="13.7109375" style="28" customWidth="1"/>
    <col min="7" max="16" width="13.140625" style="28" bestFit="1" customWidth="1"/>
    <col min="17" max="17" width="11.42578125" style="28"/>
    <col min="18" max="18" width="15.42578125" style="28" bestFit="1" customWidth="1"/>
    <col min="19" max="16384" width="11.42578125" style="28"/>
  </cols>
  <sheetData>
    <row r="1" spans="1:16" ht="21.75" thickBot="1" x14ac:dyDescent="0.4">
      <c r="A1" s="58" t="s">
        <v>32</v>
      </c>
      <c r="B1" s="59"/>
      <c r="D1" s="65" t="s">
        <v>42</v>
      </c>
      <c r="E1" s="66">
        <v>0.3</v>
      </c>
    </row>
    <row r="2" spans="1:16" x14ac:dyDescent="0.35">
      <c r="A2" s="33" t="s">
        <v>53</v>
      </c>
      <c r="B2" s="35">
        <v>700000</v>
      </c>
    </row>
    <row r="3" spans="1:16" x14ac:dyDescent="0.35">
      <c r="A3" s="33" t="s">
        <v>54</v>
      </c>
      <c r="B3" s="35">
        <v>7</v>
      </c>
    </row>
    <row r="4" spans="1:16" ht="21.75" thickBot="1" x14ac:dyDescent="0.4">
      <c r="A4" s="60" t="s">
        <v>55</v>
      </c>
      <c r="B4" s="61">
        <v>10</v>
      </c>
    </row>
    <row r="5" spans="1:16" x14ac:dyDescent="0.35">
      <c r="D5" s="38" t="s">
        <v>56</v>
      </c>
      <c r="E5" s="39"/>
      <c r="F5" s="39"/>
      <c r="G5" s="31" t="s">
        <v>57</v>
      </c>
      <c r="H5" s="31" t="s">
        <v>58</v>
      </c>
      <c r="I5" s="31" t="s">
        <v>59</v>
      </c>
      <c r="J5" s="31" t="s">
        <v>60</v>
      </c>
      <c r="K5" s="31" t="s">
        <v>61</v>
      </c>
      <c r="L5" s="31" t="s">
        <v>62</v>
      </c>
      <c r="M5" s="31" t="s">
        <v>63</v>
      </c>
      <c r="N5" s="31" t="s">
        <v>64</v>
      </c>
      <c r="O5" s="31" t="s">
        <v>65</v>
      </c>
      <c r="P5" s="32" t="s">
        <v>66</v>
      </c>
    </row>
    <row r="6" spans="1:16" x14ac:dyDescent="0.35"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</row>
    <row r="7" spans="1:16" x14ac:dyDescent="0.35">
      <c r="D7" s="33" t="s">
        <v>67</v>
      </c>
      <c r="E7" s="34"/>
      <c r="F7" s="34"/>
      <c r="G7" s="34">
        <f>B2/B3</f>
        <v>100000</v>
      </c>
      <c r="H7" s="34">
        <f>+G7</f>
        <v>100000</v>
      </c>
      <c r="I7" s="34">
        <f t="shared" ref="I7:M7" si="0">+H7</f>
        <v>100000</v>
      </c>
      <c r="J7" s="34">
        <f t="shared" si="0"/>
        <v>100000</v>
      </c>
      <c r="K7" s="34">
        <f t="shared" si="0"/>
        <v>100000</v>
      </c>
      <c r="L7" s="34">
        <f t="shared" si="0"/>
        <v>100000</v>
      </c>
      <c r="M7" s="34">
        <f t="shared" si="0"/>
        <v>100000</v>
      </c>
      <c r="N7" s="34">
        <v>0</v>
      </c>
      <c r="O7" s="34">
        <v>0</v>
      </c>
      <c r="P7" s="35">
        <v>0</v>
      </c>
    </row>
    <row r="8" spans="1:16" x14ac:dyDescent="0.35">
      <c r="D8" s="33" t="s">
        <v>68</v>
      </c>
      <c r="E8" s="34"/>
      <c r="F8" s="34"/>
      <c r="G8" s="34">
        <f>+B2/B4</f>
        <v>70000</v>
      </c>
      <c r="H8" s="34">
        <f>+G8</f>
        <v>70000</v>
      </c>
      <c r="I8" s="34">
        <f t="shared" ref="I8:P8" si="1">+H8</f>
        <v>70000</v>
      </c>
      <c r="J8" s="34">
        <f t="shared" si="1"/>
        <v>70000</v>
      </c>
      <c r="K8" s="34">
        <f t="shared" si="1"/>
        <v>70000</v>
      </c>
      <c r="L8" s="34">
        <f t="shared" si="1"/>
        <v>70000</v>
      </c>
      <c r="M8" s="34">
        <f t="shared" si="1"/>
        <v>70000</v>
      </c>
      <c r="N8" s="34">
        <f t="shared" si="1"/>
        <v>70000</v>
      </c>
      <c r="O8" s="34">
        <f t="shared" si="1"/>
        <v>70000</v>
      </c>
      <c r="P8" s="35">
        <f t="shared" si="1"/>
        <v>70000</v>
      </c>
    </row>
    <row r="9" spans="1:16" x14ac:dyDescent="0.35"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16" x14ac:dyDescent="0.35">
      <c r="D10" s="36" t="s">
        <v>69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 x14ac:dyDescent="0.35">
      <c r="A11" s="30" t="s">
        <v>70</v>
      </c>
      <c r="D11" s="33" t="s">
        <v>67</v>
      </c>
      <c r="E11" s="34"/>
      <c r="F11" s="34"/>
      <c r="G11" s="34">
        <f>+G7*$E$1</f>
        <v>30000</v>
      </c>
      <c r="H11" s="34">
        <f t="shared" ref="H11:P11" si="2">+H7*$E$1</f>
        <v>30000</v>
      </c>
      <c r="I11" s="34">
        <f t="shared" si="2"/>
        <v>30000</v>
      </c>
      <c r="J11" s="34">
        <f t="shared" si="2"/>
        <v>30000</v>
      </c>
      <c r="K11" s="34">
        <f t="shared" si="2"/>
        <v>30000</v>
      </c>
      <c r="L11" s="34">
        <f t="shared" si="2"/>
        <v>30000</v>
      </c>
      <c r="M11" s="34">
        <f t="shared" si="2"/>
        <v>30000</v>
      </c>
      <c r="N11" s="34">
        <f t="shared" si="2"/>
        <v>0</v>
      </c>
      <c r="O11" s="34">
        <f t="shared" si="2"/>
        <v>0</v>
      </c>
      <c r="P11" s="35">
        <f t="shared" si="2"/>
        <v>0</v>
      </c>
    </row>
    <row r="12" spans="1:16" x14ac:dyDescent="0.35">
      <c r="A12" s="30" t="s">
        <v>71</v>
      </c>
      <c r="D12" s="33" t="s">
        <v>68</v>
      </c>
      <c r="E12" s="34"/>
      <c r="F12" s="34"/>
      <c r="G12" s="34">
        <f>+G8*$E$1</f>
        <v>21000</v>
      </c>
      <c r="H12" s="34">
        <f t="shared" ref="H12:P12" si="3">+H8*$E$1</f>
        <v>21000</v>
      </c>
      <c r="I12" s="34">
        <f t="shared" si="3"/>
        <v>21000</v>
      </c>
      <c r="J12" s="34">
        <f t="shared" si="3"/>
        <v>21000</v>
      </c>
      <c r="K12" s="34">
        <f t="shared" si="3"/>
        <v>21000</v>
      </c>
      <c r="L12" s="34">
        <f t="shared" si="3"/>
        <v>21000</v>
      </c>
      <c r="M12" s="34">
        <f t="shared" si="3"/>
        <v>21000</v>
      </c>
      <c r="N12" s="34">
        <f t="shared" si="3"/>
        <v>21000</v>
      </c>
      <c r="O12" s="34">
        <f t="shared" si="3"/>
        <v>21000</v>
      </c>
      <c r="P12" s="35">
        <f t="shared" si="3"/>
        <v>21000</v>
      </c>
    </row>
    <row r="13" spans="1:16" x14ac:dyDescent="0.35">
      <c r="D13" s="43" t="s">
        <v>73</v>
      </c>
      <c r="E13" s="44"/>
      <c r="F13" s="44"/>
      <c r="G13" s="44">
        <f>+G11-G12</f>
        <v>9000</v>
      </c>
      <c r="H13" s="44">
        <f>+H11-H12</f>
        <v>9000</v>
      </c>
      <c r="I13" s="44">
        <f t="shared" ref="I13:M13" si="4">+I11-I12</f>
        <v>9000</v>
      </c>
      <c r="J13" s="44">
        <f t="shared" si="4"/>
        <v>9000</v>
      </c>
      <c r="K13" s="44">
        <f t="shared" si="4"/>
        <v>9000</v>
      </c>
      <c r="L13" s="44">
        <f t="shared" si="4"/>
        <v>9000</v>
      </c>
      <c r="M13" s="44">
        <f t="shared" si="4"/>
        <v>9000</v>
      </c>
      <c r="N13" s="44">
        <f t="shared" ref="N13" si="5">+N11-N12</f>
        <v>-21000</v>
      </c>
      <c r="O13" s="44">
        <f t="shared" ref="O13" si="6">+O11-O12</f>
        <v>-21000</v>
      </c>
      <c r="P13" s="45">
        <f t="shared" ref="P13" si="7">+P11-P12</f>
        <v>-21000</v>
      </c>
    </row>
    <row r="14" spans="1:16" ht="21.75" thickBot="1" x14ac:dyDescent="0.4">
      <c r="D14" s="46" t="s">
        <v>72</v>
      </c>
      <c r="E14" s="47"/>
      <c r="F14" s="47"/>
      <c r="G14" s="48">
        <f>+G13</f>
        <v>9000</v>
      </c>
      <c r="H14" s="49">
        <f t="shared" ref="H14:P14" si="8">+G14+H13</f>
        <v>18000</v>
      </c>
      <c r="I14" s="49">
        <f t="shared" si="8"/>
        <v>27000</v>
      </c>
      <c r="J14" s="49">
        <f t="shared" si="8"/>
        <v>36000</v>
      </c>
      <c r="K14" s="49">
        <f t="shared" si="8"/>
        <v>45000</v>
      </c>
      <c r="L14" s="49">
        <f t="shared" si="8"/>
        <v>54000</v>
      </c>
      <c r="M14" s="49">
        <f t="shared" si="8"/>
        <v>63000</v>
      </c>
      <c r="N14" s="49">
        <f t="shared" si="8"/>
        <v>42000</v>
      </c>
      <c r="O14" s="49">
        <f t="shared" si="8"/>
        <v>21000</v>
      </c>
      <c r="P14" s="50">
        <f t="shared" si="8"/>
        <v>0</v>
      </c>
    </row>
    <row r="15" spans="1:16" ht="21.75" thickBot="1" x14ac:dyDescent="0.4"/>
    <row r="16" spans="1:16" x14ac:dyDescent="0.35">
      <c r="D16" s="38" t="s">
        <v>74</v>
      </c>
      <c r="E16" s="39"/>
      <c r="F16" s="39"/>
      <c r="G16" s="31" t="s">
        <v>57</v>
      </c>
      <c r="H16" s="31" t="s">
        <v>58</v>
      </c>
      <c r="I16" s="31" t="s">
        <v>59</v>
      </c>
      <c r="J16" s="31" t="s">
        <v>60</v>
      </c>
      <c r="K16" s="31" t="s">
        <v>61</v>
      </c>
      <c r="L16" s="31" t="s">
        <v>62</v>
      </c>
      <c r="M16" s="31" t="s">
        <v>63</v>
      </c>
      <c r="N16" s="31" t="s">
        <v>64</v>
      </c>
      <c r="O16" s="31" t="s">
        <v>65</v>
      </c>
      <c r="P16" s="32" t="s">
        <v>66</v>
      </c>
    </row>
    <row r="17" spans="2:17" x14ac:dyDescent="0.35"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2:17" s="29" customFormat="1" x14ac:dyDescent="0.35">
      <c r="D18" s="36" t="s">
        <v>75</v>
      </c>
      <c r="E18" s="40"/>
      <c r="F18" s="40"/>
      <c r="G18" s="40">
        <v>800000</v>
      </c>
      <c r="H18" s="40">
        <v>800000</v>
      </c>
      <c r="I18" s="40">
        <v>800000</v>
      </c>
      <c r="J18" s="40">
        <v>800000</v>
      </c>
      <c r="K18" s="40">
        <v>800000</v>
      </c>
      <c r="L18" s="40">
        <v>800000</v>
      </c>
      <c r="M18" s="40">
        <v>800000</v>
      </c>
      <c r="N18" s="40">
        <v>800000</v>
      </c>
      <c r="O18" s="40">
        <v>800000</v>
      </c>
      <c r="P18" s="41">
        <v>800000</v>
      </c>
    </row>
    <row r="19" spans="2:17" x14ac:dyDescent="0.35"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2:17" x14ac:dyDescent="0.35">
      <c r="D20" s="33" t="s">
        <v>76</v>
      </c>
      <c r="E20" s="34"/>
      <c r="F20" s="34"/>
      <c r="G20" s="34">
        <f>+G7</f>
        <v>100000</v>
      </c>
      <c r="H20" s="34">
        <f t="shared" ref="H20:P20" si="9">+H7</f>
        <v>100000</v>
      </c>
      <c r="I20" s="34">
        <f t="shared" si="9"/>
        <v>100000</v>
      </c>
      <c r="J20" s="34">
        <f t="shared" si="9"/>
        <v>100000</v>
      </c>
      <c r="K20" s="34">
        <f t="shared" si="9"/>
        <v>100000</v>
      </c>
      <c r="L20" s="34">
        <f t="shared" si="9"/>
        <v>100000</v>
      </c>
      <c r="M20" s="34">
        <f t="shared" si="9"/>
        <v>100000</v>
      </c>
      <c r="N20" s="34">
        <f t="shared" si="9"/>
        <v>0</v>
      </c>
      <c r="O20" s="34">
        <f t="shared" si="9"/>
        <v>0</v>
      </c>
      <c r="P20" s="35">
        <f t="shared" si="9"/>
        <v>0</v>
      </c>
    </row>
    <row r="21" spans="2:17" x14ac:dyDescent="0.35">
      <c r="D21" s="33" t="s">
        <v>77</v>
      </c>
      <c r="E21" s="34"/>
      <c r="F21" s="34"/>
      <c r="G21" s="34">
        <f>-G8</f>
        <v>-70000</v>
      </c>
      <c r="H21" s="34">
        <f t="shared" ref="H21:P21" si="10">-H8</f>
        <v>-70000</v>
      </c>
      <c r="I21" s="34">
        <f t="shared" si="10"/>
        <v>-70000</v>
      </c>
      <c r="J21" s="34">
        <f t="shared" si="10"/>
        <v>-70000</v>
      </c>
      <c r="K21" s="34">
        <f t="shared" si="10"/>
        <v>-70000</v>
      </c>
      <c r="L21" s="34">
        <f t="shared" si="10"/>
        <v>-70000</v>
      </c>
      <c r="M21" s="34">
        <f t="shared" si="10"/>
        <v>-70000</v>
      </c>
      <c r="N21" s="34">
        <f t="shared" si="10"/>
        <v>-70000</v>
      </c>
      <c r="O21" s="34">
        <f t="shared" si="10"/>
        <v>-70000</v>
      </c>
      <c r="P21" s="35">
        <f t="shared" si="10"/>
        <v>-70000</v>
      </c>
      <c r="Q21" s="28">
        <f>SUM(G20:P21)</f>
        <v>0</v>
      </c>
    </row>
    <row r="22" spans="2:17" x14ac:dyDescent="0.35"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</row>
    <row r="23" spans="2:17" s="29" customFormat="1" x14ac:dyDescent="0.35">
      <c r="D23" s="36" t="s">
        <v>78</v>
      </c>
      <c r="E23" s="40"/>
      <c r="F23" s="40"/>
      <c r="G23" s="40">
        <f>SUM(G18:G21)</f>
        <v>830000</v>
      </c>
      <c r="H23" s="40">
        <f t="shared" ref="H23:P23" si="11">SUM(H18:H21)</f>
        <v>830000</v>
      </c>
      <c r="I23" s="40">
        <f t="shared" si="11"/>
        <v>830000</v>
      </c>
      <c r="J23" s="40">
        <f t="shared" si="11"/>
        <v>830000</v>
      </c>
      <c r="K23" s="40">
        <f t="shared" si="11"/>
        <v>830000</v>
      </c>
      <c r="L23" s="40">
        <f t="shared" si="11"/>
        <v>830000</v>
      </c>
      <c r="M23" s="40">
        <f t="shared" si="11"/>
        <v>830000</v>
      </c>
      <c r="N23" s="40">
        <f t="shared" si="11"/>
        <v>730000</v>
      </c>
      <c r="O23" s="40">
        <f t="shared" si="11"/>
        <v>730000</v>
      </c>
      <c r="P23" s="41">
        <f t="shared" si="11"/>
        <v>730000</v>
      </c>
    </row>
    <row r="24" spans="2:17" x14ac:dyDescent="0.35"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5"/>
    </row>
    <row r="25" spans="2:17" x14ac:dyDescent="0.35">
      <c r="B25" s="28" t="s">
        <v>81</v>
      </c>
      <c r="D25" s="33" t="s">
        <v>79</v>
      </c>
      <c r="E25" s="34"/>
      <c r="F25" s="34"/>
      <c r="G25" s="34">
        <f t="shared" ref="G25:P25" si="12">+G20+G21</f>
        <v>30000</v>
      </c>
      <c r="H25" s="34">
        <f t="shared" si="12"/>
        <v>30000</v>
      </c>
      <c r="I25" s="34">
        <f t="shared" si="12"/>
        <v>30000</v>
      </c>
      <c r="J25" s="34">
        <f t="shared" si="12"/>
        <v>30000</v>
      </c>
      <c r="K25" s="34">
        <f t="shared" si="12"/>
        <v>30000</v>
      </c>
      <c r="L25" s="34">
        <f t="shared" si="12"/>
        <v>30000</v>
      </c>
      <c r="M25" s="34">
        <f t="shared" si="12"/>
        <v>30000</v>
      </c>
      <c r="N25" s="34">
        <f t="shared" si="12"/>
        <v>-70000</v>
      </c>
      <c r="O25" s="34">
        <f t="shared" si="12"/>
        <v>-70000</v>
      </c>
      <c r="P25" s="35">
        <f t="shared" si="12"/>
        <v>-70000</v>
      </c>
    </row>
    <row r="26" spans="2:17" x14ac:dyDescent="0.35">
      <c r="B26" s="28" t="s">
        <v>82</v>
      </c>
      <c r="D26" s="33" t="s">
        <v>80</v>
      </c>
      <c r="E26" s="34"/>
      <c r="F26" s="34"/>
      <c r="G26" s="34">
        <f>+G25</f>
        <v>30000</v>
      </c>
      <c r="H26" s="34">
        <f>+G26+H25</f>
        <v>60000</v>
      </c>
      <c r="I26" s="34">
        <f t="shared" ref="I26:P26" si="13">+H26+I25</f>
        <v>90000</v>
      </c>
      <c r="J26" s="34">
        <f t="shared" si="13"/>
        <v>120000</v>
      </c>
      <c r="K26" s="34">
        <f t="shared" si="13"/>
        <v>150000</v>
      </c>
      <c r="L26" s="34">
        <f t="shared" si="13"/>
        <v>180000</v>
      </c>
      <c r="M26" s="34">
        <f t="shared" si="13"/>
        <v>210000</v>
      </c>
      <c r="N26" s="34">
        <f t="shared" si="13"/>
        <v>140000</v>
      </c>
      <c r="O26" s="34">
        <f t="shared" si="13"/>
        <v>70000</v>
      </c>
      <c r="P26" s="35">
        <f t="shared" si="13"/>
        <v>0</v>
      </c>
    </row>
    <row r="27" spans="2:17" x14ac:dyDescent="0.35"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5"/>
    </row>
    <row r="28" spans="2:17" x14ac:dyDescent="0.35">
      <c r="B28" s="42" t="s">
        <v>83</v>
      </c>
      <c r="D28" s="43" t="s">
        <v>84</v>
      </c>
      <c r="E28" s="44"/>
      <c r="F28" s="44"/>
      <c r="G28" s="44">
        <f>G25*$E$1</f>
        <v>9000</v>
      </c>
      <c r="H28" s="44">
        <f t="shared" ref="H28:P29" si="14">H25*$E$1</f>
        <v>9000</v>
      </c>
      <c r="I28" s="44">
        <f t="shared" si="14"/>
        <v>9000</v>
      </c>
      <c r="J28" s="44">
        <f t="shared" si="14"/>
        <v>9000</v>
      </c>
      <c r="K28" s="44">
        <f t="shared" si="14"/>
        <v>9000</v>
      </c>
      <c r="L28" s="44">
        <f t="shared" si="14"/>
        <v>9000</v>
      </c>
      <c r="M28" s="44">
        <f t="shared" si="14"/>
        <v>9000</v>
      </c>
      <c r="N28" s="44">
        <f t="shared" si="14"/>
        <v>-21000</v>
      </c>
      <c r="O28" s="44">
        <f t="shared" si="14"/>
        <v>-21000</v>
      </c>
      <c r="P28" s="45">
        <f t="shared" si="14"/>
        <v>-21000</v>
      </c>
    </row>
    <row r="29" spans="2:17" ht="21.75" thickBot="1" x14ac:dyDescent="0.4">
      <c r="B29" s="42" t="s">
        <v>85</v>
      </c>
      <c r="D29" s="46" t="s">
        <v>86</v>
      </c>
      <c r="E29" s="47"/>
      <c r="F29" s="47"/>
      <c r="G29" s="48">
        <f>G26*$E$1</f>
        <v>9000</v>
      </c>
      <c r="H29" s="49">
        <f t="shared" si="14"/>
        <v>18000</v>
      </c>
      <c r="I29" s="49">
        <f t="shared" si="14"/>
        <v>27000</v>
      </c>
      <c r="J29" s="49">
        <f t="shared" si="14"/>
        <v>36000</v>
      </c>
      <c r="K29" s="49">
        <f t="shared" si="14"/>
        <v>45000</v>
      </c>
      <c r="L29" s="49">
        <f t="shared" si="14"/>
        <v>54000</v>
      </c>
      <c r="M29" s="49">
        <f t="shared" si="14"/>
        <v>63000</v>
      </c>
      <c r="N29" s="49">
        <f t="shared" si="14"/>
        <v>42000</v>
      </c>
      <c r="O29" s="49">
        <f t="shared" si="14"/>
        <v>21000</v>
      </c>
      <c r="P29" s="50">
        <f t="shared" si="14"/>
        <v>0</v>
      </c>
    </row>
    <row r="30" spans="2:17" ht="21.75" thickBot="1" x14ac:dyDescent="0.4"/>
    <row r="31" spans="2:17" x14ac:dyDescent="0.35">
      <c r="D31" s="38" t="s">
        <v>87</v>
      </c>
      <c r="E31" s="39"/>
      <c r="F31" s="39"/>
      <c r="G31" s="31" t="s">
        <v>57</v>
      </c>
      <c r="H31" s="31" t="s">
        <v>58</v>
      </c>
      <c r="I31" s="31" t="s">
        <v>59</v>
      </c>
      <c r="J31" s="31" t="s">
        <v>60</v>
      </c>
      <c r="K31" s="31" t="s">
        <v>61</v>
      </c>
      <c r="L31" s="31" t="s">
        <v>62</v>
      </c>
      <c r="M31" s="31" t="s">
        <v>63</v>
      </c>
      <c r="N31" s="31" t="s">
        <v>64</v>
      </c>
      <c r="O31" s="31" t="s">
        <v>65</v>
      </c>
      <c r="P31" s="32" t="s">
        <v>66</v>
      </c>
    </row>
    <row r="32" spans="2:17" x14ac:dyDescent="0.35">
      <c r="D32" s="33" t="s">
        <v>88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</row>
    <row r="33" spans="4:16" x14ac:dyDescent="0.35">
      <c r="D33" s="33" t="s">
        <v>51</v>
      </c>
      <c r="E33" s="34"/>
      <c r="F33" s="34"/>
      <c r="G33" s="34">
        <f>+B2</f>
        <v>700000</v>
      </c>
      <c r="H33" s="34">
        <f>+G33</f>
        <v>700000</v>
      </c>
      <c r="I33" s="34">
        <f t="shared" ref="I33:P33" si="15">+H33</f>
        <v>700000</v>
      </c>
      <c r="J33" s="34">
        <f t="shared" si="15"/>
        <v>700000</v>
      </c>
      <c r="K33" s="34">
        <f t="shared" si="15"/>
        <v>700000</v>
      </c>
      <c r="L33" s="34">
        <f t="shared" si="15"/>
        <v>700000</v>
      </c>
      <c r="M33" s="34">
        <f t="shared" si="15"/>
        <v>700000</v>
      </c>
      <c r="N33" s="34">
        <f t="shared" si="15"/>
        <v>700000</v>
      </c>
      <c r="O33" s="34">
        <f t="shared" si="15"/>
        <v>700000</v>
      </c>
      <c r="P33" s="35">
        <f t="shared" si="15"/>
        <v>700000</v>
      </c>
    </row>
    <row r="34" spans="4:16" x14ac:dyDescent="0.35">
      <c r="D34" s="33" t="s">
        <v>90</v>
      </c>
      <c r="E34" s="34"/>
      <c r="F34" s="34"/>
      <c r="G34" s="34">
        <f>-G7</f>
        <v>-100000</v>
      </c>
      <c r="H34" s="34">
        <f>+G34+-H7</f>
        <v>-200000</v>
      </c>
      <c r="I34" s="34">
        <f t="shared" ref="I34:P34" si="16">+H34+-I7</f>
        <v>-300000</v>
      </c>
      <c r="J34" s="34">
        <f t="shared" si="16"/>
        <v>-400000</v>
      </c>
      <c r="K34" s="34">
        <f t="shared" si="16"/>
        <v>-500000</v>
      </c>
      <c r="L34" s="34">
        <f t="shared" si="16"/>
        <v>-600000</v>
      </c>
      <c r="M34" s="34">
        <f t="shared" si="16"/>
        <v>-700000</v>
      </c>
      <c r="N34" s="34">
        <f t="shared" si="16"/>
        <v>-700000</v>
      </c>
      <c r="O34" s="34">
        <f t="shared" si="16"/>
        <v>-700000</v>
      </c>
      <c r="P34" s="35">
        <f t="shared" si="16"/>
        <v>-700000</v>
      </c>
    </row>
    <row r="35" spans="4:16" x14ac:dyDescent="0.35">
      <c r="D35" s="33"/>
      <c r="E35" s="34"/>
      <c r="F35" s="34"/>
      <c r="G35" s="51">
        <f t="shared" ref="G35:O35" si="17">+G33+G34</f>
        <v>600000</v>
      </c>
      <c r="H35" s="51">
        <f t="shared" si="17"/>
        <v>500000</v>
      </c>
      <c r="I35" s="51">
        <f t="shared" si="17"/>
        <v>400000</v>
      </c>
      <c r="J35" s="51">
        <f t="shared" si="17"/>
        <v>300000</v>
      </c>
      <c r="K35" s="51">
        <f t="shared" si="17"/>
        <v>200000</v>
      </c>
      <c r="L35" s="51">
        <f t="shared" si="17"/>
        <v>100000</v>
      </c>
      <c r="M35" s="51">
        <f t="shared" si="17"/>
        <v>0</v>
      </c>
      <c r="N35" s="51">
        <f t="shared" si="17"/>
        <v>0</v>
      </c>
      <c r="O35" s="51">
        <f t="shared" si="17"/>
        <v>0</v>
      </c>
      <c r="P35" s="62">
        <f>+P33+P34</f>
        <v>0</v>
      </c>
    </row>
    <row r="36" spans="4:16" x14ac:dyDescent="0.35">
      <c r="D36" s="33" t="s">
        <v>89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/>
    </row>
    <row r="37" spans="4:16" x14ac:dyDescent="0.35">
      <c r="D37" s="33" t="s">
        <v>51</v>
      </c>
      <c r="E37" s="34"/>
      <c r="F37" s="34"/>
      <c r="G37" s="34">
        <f>+G33</f>
        <v>700000</v>
      </c>
      <c r="H37" s="34">
        <f t="shared" ref="H37:P37" si="18">+H33</f>
        <v>700000</v>
      </c>
      <c r="I37" s="34">
        <f t="shared" si="18"/>
        <v>700000</v>
      </c>
      <c r="J37" s="34">
        <f t="shared" si="18"/>
        <v>700000</v>
      </c>
      <c r="K37" s="34">
        <f t="shared" si="18"/>
        <v>700000</v>
      </c>
      <c r="L37" s="34">
        <f t="shared" si="18"/>
        <v>700000</v>
      </c>
      <c r="M37" s="34">
        <f t="shared" si="18"/>
        <v>700000</v>
      </c>
      <c r="N37" s="34">
        <f t="shared" si="18"/>
        <v>700000</v>
      </c>
      <c r="O37" s="34">
        <f t="shared" si="18"/>
        <v>700000</v>
      </c>
      <c r="P37" s="35">
        <f t="shared" si="18"/>
        <v>700000</v>
      </c>
    </row>
    <row r="38" spans="4:16" x14ac:dyDescent="0.35">
      <c r="D38" s="33" t="s">
        <v>90</v>
      </c>
      <c r="E38" s="34"/>
      <c r="F38" s="34"/>
      <c r="G38" s="34">
        <f>-G8</f>
        <v>-70000</v>
      </c>
      <c r="H38" s="34">
        <f>+G38-H8</f>
        <v>-140000</v>
      </c>
      <c r="I38" s="34">
        <f t="shared" ref="I38:P38" si="19">+H38-I8</f>
        <v>-210000</v>
      </c>
      <c r="J38" s="34">
        <f t="shared" si="19"/>
        <v>-280000</v>
      </c>
      <c r="K38" s="34">
        <f t="shared" si="19"/>
        <v>-350000</v>
      </c>
      <c r="L38" s="34">
        <f t="shared" si="19"/>
        <v>-420000</v>
      </c>
      <c r="M38" s="34">
        <f t="shared" si="19"/>
        <v>-490000</v>
      </c>
      <c r="N38" s="34">
        <f t="shared" si="19"/>
        <v>-560000</v>
      </c>
      <c r="O38" s="34">
        <f t="shared" si="19"/>
        <v>-630000</v>
      </c>
      <c r="P38" s="35">
        <f t="shared" si="19"/>
        <v>-700000</v>
      </c>
    </row>
    <row r="39" spans="4:16" x14ac:dyDescent="0.35">
      <c r="D39" s="33"/>
      <c r="E39" s="34"/>
      <c r="F39" s="34"/>
      <c r="G39" s="51">
        <f t="shared" ref="G39" si="20">+G37+G38</f>
        <v>630000</v>
      </c>
      <c r="H39" s="51">
        <f t="shared" ref="H39" si="21">+H37+H38</f>
        <v>560000</v>
      </c>
      <c r="I39" s="51">
        <f t="shared" ref="I39" si="22">+I37+I38</f>
        <v>490000</v>
      </c>
      <c r="J39" s="51">
        <f t="shared" ref="J39" si="23">+J37+J38</f>
        <v>420000</v>
      </c>
      <c r="K39" s="51">
        <f t="shared" ref="K39" si="24">+K37+K38</f>
        <v>350000</v>
      </c>
      <c r="L39" s="51">
        <f t="shared" ref="L39" si="25">+L37+L38</f>
        <v>280000</v>
      </c>
      <c r="M39" s="51">
        <f t="shared" ref="M39" si="26">+M37+M38</f>
        <v>210000</v>
      </c>
      <c r="N39" s="51">
        <f t="shared" ref="N39" si="27">+N37+N38</f>
        <v>140000</v>
      </c>
      <c r="O39" s="51">
        <f t="shared" ref="O39" si="28">+O37+O38</f>
        <v>70000</v>
      </c>
      <c r="P39" s="62">
        <f>+P37+P38</f>
        <v>0</v>
      </c>
    </row>
    <row r="40" spans="4:16" x14ac:dyDescent="0.35"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/>
    </row>
    <row r="41" spans="4:16" x14ac:dyDescent="0.35">
      <c r="D41" s="63" t="s">
        <v>80</v>
      </c>
      <c r="E41" s="52"/>
      <c r="F41" s="52"/>
      <c r="G41" s="52">
        <f>+G39-G35</f>
        <v>30000</v>
      </c>
      <c r="H41" s="52">
        <f t="shared" ref="H41:P41" si="29">+H39-H35</f>
        <v>60000</v>
      </c>
      <c r="I41" s="52">
        <f t="shared" si="29"/>
        <v>90000</v>
      </c>
      <c r="J41" s="52">
        <f t="shared" si="29"/>
        <v>120000</v>
      </c>
      <c r="K41" s="52">
        <f t="shared" si="29"/>
        <v>150000</v>
      </c>
      <c r="L41" s="52">
        <f t="shared" si="29"/>
        <v>180000</v>
      </c>
      <c r="M41" s="52">
        <f t="shared" si="29"/>
        <v>210000</v>
      </c>
      <c r="N41" s="52">
        <f t="shared" si="29"/>
        <v>140000</v>
      </c>
      <c r="O41" s="52">
        <f t="shared" si="29"/>
        <v>70000</v>
      </c>
      <c r="P41" s="64">
        <f t="shared" si="29"/>
        <v>0</v>
      </c>
    </row>
    <row r="42" spans="4:16" ht="21.75" thickBot="1" x14ac:dyDescent="0.4"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</row>
    <row r="43" spans="4:16" s="30" customFormat="1" ht="21.75" thickBot="1" x14ac:dyDescent="0.4">
      <c r="D43" s="53" t="s">
        <v>86</v>
      </c>
      <c r="E43" s="54"/>
      <c r="F43" s="54"/>
      <c r="G43" s="55">
        <f>G41*$E$1</f>
        <v>9000</v>
      </c>
      <c r="H43" s="56">
        <f t="shared" ref="H43:P43" si="30">H41*$E$1</f>
        <v>18000</v>
      </c>
      <c r="I43" s="56">
        <f t="shared" si="30"/>
        <v>27000</v>
      </c>
      <c r="J43" s="56">
        <f t="shared" si="30"/>
        <v>36000</v>
      </c>
      <c r="K43" s="56">
        <f t="shared" si="30"/>
        <v>45000</v>
      </c>
      <c r="L43" s="56">
        <f t="shared" si="30"/>
        <v>54000</v>
      </c>
      <c r="M43" s="56">
        <f t="shared" si="30"/>
        <v>63000</v>
      </c>
      <c r="N43" s="56">
        <f t="shared" si="30"/>
        <v>42000</v>
      </c>
      <c r="O43" s="56">
        <f t="shared" si="30"/>
        <v>21000</v>
      </c>
      <c r="P43" s="57">
        <f t="shared" si="30"/>
        <v>0</v>
      </c>
    </row>
    <row r="45" spans="4:16" ht="21.75" thickBot="1" x14ac:dyDescent="0.4"/>
    <row r="46" spans="4:16" x14ac:dyDescent="0.35">
      <c r="D46" s="38" t="s">
        <v>91</v>
      </c>
      <c r="E46" s="39"/>
      <c r="F46" s="39"/>
      <c r="G46" s="31" t="s">
        <v>57</v>
      </c>
      <c r="H46" s="31" t="s">
        <v>58</v>
      </c>
      <c r="I46" s="31" t="s">
        <v>59</v>
      </c>
      <c r="J46" s="31" t="s">
        <v>60</v>
      </c>
      <c r="K46" s="31" t="s">
        <v>61</v>
      </c>
      <c r="L46" s="31" t="s">
        <v>62</v>
      </c>
      <c r="M46" s="31" t="s">
        <v>63</v>
      </c>
      <c r="N46" s="31" t="s">
        <v>64</v>
      </c>
      <c r="O46" s="31" t="s">
        <v>65</v>
      </c>
      <c r="P46" s="32" t="s">
        <v>66</v>
      </c>
    </row>
    <row r="47" spans="4:16" x14ac:dyDescent="0.35">
      <c r="D47" s="33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/>
    </row>
    <row r="48" spans="4:16" x14ac:dyDescent="0.35">
      <c r="D48" s="33" t="s">
        <v>92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</row>
    <row r="49" spans="4:18" x14ac:dyDescent="0.35">
      <c r="D49" s="33" t="s">
        <v>93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</row>
    <row r="50" spans="4:18" x14ac:dyDescent="0.35">
      <c r="D50" s="33" t="s">
        <v>94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</row>
    <row r="51" spans="4:18" x14ac:dyDescent="0.35">
      <c r="D51" s="33" t="s">
        <v>94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5"/>
    </row>
    <row r="52" spans="4:18" x14ac:dyDescent="0.35">
      <c r="D52" s="33" t="s">
        <v>94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5"/>
    </row>
    <row r="53" spans="4:18" s="29" customFormat="1" x14ac:dyDescent="0.35">
      <c r="D53" s="36" t="s">
        <v>95</v>
      </c>
      <c r="E53" s="40"/>
      <c r="F53" s="40"/>
      <c r="G53" s="40">
        <f>+G18</f>
        <v>800000</v>
      </c>
      <c r="H53" s="40">
        <f t="shared" ref="H53:P53" si="31">+H18</f>
        <v>800000</v>
      </c>
      <c r="I53" s="40">
        <f t="shared" si="31"/>
        <v>800000</v>
      </c>
      <c r="J53" s="40">
        <f t="shared" si="31"/>
        <v>800000</v>
      </c>
      <c r="K53" s="40">
        <f t="shared" si="31"/>
        <v>800000</v>
      </c>
      <c r="L53" s="40">
        <f t="shared" si="31"/>
        <v>800000</v>
      </c>
      <c r="M53" s="40">
        <f t="shared" si="31"/>
        <v>800000</v>
      </c>
      <c r="N53" s="40">
        <f t="shared" si="31"/>
        <v>800000</v>
      </c>
      <c r="O53" s="40">
        <f t="shared" si="31"/>
        <v>800000</v>
      </c>
      <c r="P53" s="41">
        <f t="shared" si="31"/>
        <v>800000</v>
      </c>
    </row>
    <row r="54" spans="4:18" x14ac:dyDescent="0.35">
      <c r="D54" s="33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5"/>
    </row>
    <row r="55" spans="4:18" x14ac:dyDescent="0.35">
      <c r="D55" s="33" t="s">
        <v>96</v>
      </c>
      <c r="E55" s="34"/>
      <c r="F55" s="34"/>
      <c r="G55" s="34">
        <f t="shared" ref="G55:P55" si="32">-G23*$E$1</f>
        <v>-249000</v>
      </c>
      <c r="H55" s="34">
        <f t="shared" si="32"/>
        <v>-249000</v>
      </c>
      <c r="I55" s="34">
        <f t="shared" si="32"/>
        <v>-249000</v>
      </c>
      <c r="J55" s="34">
        <f t="shared" si="32"/>
        <v>-249000</v>
      </c>
      <c r="K55" s="34">
        <f t="shared" si="32"/>
        <v>-249000</v>
      </c>
      <c r="L55" s="34">
        <f t="shared" si="32"/>
        <v>-249000</v>
      </c>
      <c r="M55" s="34">
        <f t="shared" si="32"/>
        <v>-249000</v>
      </c>
      <c r="N55" s="34">
        <f t="shared" si="32"/>
        <v>-219000</v>
      </c>
      <c r="O55" s="34">
        <f t="shared" si="32"/>
        <v>-219000</v>
      </c>
      <c r="P55" s="35">
        <f t="shared" si="32"/>
        <v>-219000</v>
      </c>
      <c r="R55" s="29">
        <f>SUM(G55:P55)</f>
        <v>-2400000</v>
      </c>
    </row>
    <row r="56" spans="4:18" x14ac:dyDescent="0.35">
      <c r="D56" s="33" t="s">
        <v>97</v>
      </c>
      <c r="E56" s="34"/>
      <c r="F56" s="34"/>
      <c r="G56" s="34">
        <v>9000</v>
      </c>
      <c r="H56" s="34">
        <v>9000</v>
      </c>
      <c r="I56" s="34">
        <v>9000</v>
      </c>
      <c r="J56" s="34">
        <v>9000</v>
      </c>
      <c r="K56" s="34">
        <v>9000</v>
      </c>
      <c r="L56" s="34">
        <v>9000</v>
      </c>
      <c r="M56" s="34">
        <v>9000</v>
      </c>
      <c r="N56" s="34">
        <v>-21000</v>
      </c>
      <c r="O56" s="34">
        <v>-21000</v>
      </c>
      <c r="P56" s="35">
        <f>+O56</f>
        <v>-21000</v>
      </c>
      <c r="R56" s="29">
        <f>R55/10</f>
        <v>-240000</v>
      </c>
    </row>
    <row r="57" spans="4:18" x14ac:dyDescent="0.35">
      <c r="D57" s="36" t="s">
        <v>98</v>
      </c>
      <c r="E57" s="40"/>
      <c r="F57" s="40"/>
      <c r="G57" s="40">
        <f>+G55+G56</f>
        <v>-240000</v>
      </c>
      <c r="H57" s="40">
        <f t="shared" ref="H57:P57" si="33">+H55+H56</f>
        <v>-240000</v>
      </c>
      <c r="I57" s="40">
        <f t="shared" si="33"/>
        <v>-240000</v>
      </c>
      <c r="J57" s="40">
        <f t="shared" si="33"/>
        <v>-240000</v>
      </c>
      <c r="K57" s="40">
        <f t="shared" si="33"/>
        <v>-240000</v>
      </c>
      <c r="L57" s="40">
        <f t="shared" si="33"/>
        <v>-240000</v>
      </c>
      <c r="M57" s="40">
        <f t="shared" si="33"/>
        <v>-240000</v>
      </c>
      <c r="N57" s="40">
        <f t="shared" si="33"/>
        <v>-240000</v>
      </c>
      <c r="O57" s="40">
        <f t="shared" si="33"/>
        <v>-240000</v>
      </c>
      <c r="P57" s="41">
        <f t="shared" si="33"/>
        <v>-240000</v>
      </c>
    </row>
    <row r="58" spans="4:18" x14ac:dyDescent="0.35">
      <c r="D58" s="33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</row>
    <row r="59" spans="4:18" s="29" customFormat="1" ht="21.75" thickBot="1" x14ac:dyDescent="0.4">
      <c r="D59" s="67" t="s">
        <v>99</v>
      </c>
      <c r="E59" s="37"/>
      <c r="F59" s="37"/>
      <c r="G59" s="68">
        <f>+G53+G57</f>
        <v>560000</v>
      </c>
      <c r="H59" s="68">
        <f t="shared" ref="H59:P59" si="34">+H53+H57</f>
        <v>560000</v>
      </c>
      <c r="I59" s="68">
        <f t="shared" si="34"/>
        <v>560000</v>
      </c>
      <c r="J59" s="68">
        <f t="shared" si="34"/>
        <v>560000</v>
      </c>
      <c r="K59" s="68">
        <f t="shared" si="34"/>
        <v>560000</v>
      </c>
      <c r="L59" s="68">
        <f t="shared" si="34"/>
        <v>560000</v>
      </c>
      <c r="M59" s="68">
        <f t="shared" si="34"/>
        <v>560000</v>
      </c>
      <c r="N59" s="69">
        <f t="shared" si="34"/>
        <v>560000</v>
      </c>
      <c r="O59" s="69">
        <f t="shared" si="34"/>
        <v>560000</v>
      </c>
      <c r="P59" s="70">
        <f t="shared" si="34"/>
        <v>560000</v>
      </c>
    </row>
    <row r="60" spans="4:18" x14ac:dyDescent="0.35">
      <c r="D60" s="33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5"/>
    </row>
    <row r="61" spans="4:18" s="29" customFormat="1" ht="21.75" thickBot="1" x14ac:dyDescent="0.4">
      <c r="D61" s="67" t="s">
        <v>100</v>
      </c>
      <c r="E61" s="37"/>
      <c r="F61" s="37"/>
      <c r="G61" s="71">
        <f>-G57/G53</f>
        <v>0.3</v>
      </c>
      <c r="H61" s="71">
        <f t="shared" ref="H61:P61" si="35">-H57/H53</f>
        <v>0.3</v>
      </c>
      <c r="I61" s="71">
        <f t="shared" si="35"/>
        <v>0.3</v>
      </c>
      <c r="J61" s="71">
        <f t="shared" si="35"/>
        <v>0.3</v>
      </c>
      <c r="K61" s="71">
        <f t="shared" si="35"/>
        <v>0.3</v>
      </c>
      <c r="L61" s="71">
        <f t="shared" si="35"/>
        <v>0.3</v>
      </c>
      <c r="M61" s="71">
        <f t="shared" si="35"/>
        <v>0.3</v>
      </c>
      <c r="N61" s="71">
        <f t="shared" si="35"/>
        <v>0.3</v>
      </c>
      <c r="O61" s="71">
        <f t="shared" si="35"/>
        <v>0.3</v>
      </c>
      <c r="P61" s="72">
        <f t="shared" si="35"/>
        <v>0.3</v>
      </c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D5C1-3D75-439D-B099-1B00B18F3609}">
  <dimension ref="A1:P45"/>
  <sheetViews>
    <sheetView workbookViewId="0">
      <selection activeCell="B27" sqref="B27"/>
    </sheetView>
  </sheetViews>
  <sheetFormatPr baseColWidth="10" defaultRowHeight="21" x14ac:dyDescent="0.35"/>
  <cols>
    <col min="1" max="1" width="14.85546875" style="28" bestFit="1" customWidth="1"/>
    <col min="2" max="2" width="13.140625" style="28" bestFit="1" customWidth="1"/>
    <col min="3" max="3" width="2.28515625" style="28" customWidth="1"/>
    <col min="4" max="5" width="11.42578125" style="28"/>
    <col min="6" max="6" width="13.7109375" style="28" customWidth="1"/>
    <col min="7" max="16" width="13.140625" style="28" bestFit="1" customWidth="1"/>
    <col min="17" max="17" width="11.42578125" style="28"/>
    <col min="18" max="18" width="15.42578125" style="28" bestFit="1" customWidth="1"/>
    <col min="19" max="16384" width="11.42578125" style="28"/>
  </cols>
  <sheetData>
    <row r="1" spans="1:16" ht="21.75" thickBot="1" x14ac:dyDescent="0.4">
      <c r="A1" s="34"/>
      <c r="B1" s="34"/>
      <c r="D1" s="65" t="s">
        <v>42</v>
      </c>
      <c r="E1" s="66">
        <v>0.3</v>
      </c>
    </row>
    <row r="2" spans="1:16" ht="21.75" thickBot="1" x14ac:dyDescent="0.4">
      <c r="A2" s="34"/>
      <c r="B2" s="34"/>
    </row>
    <row r="3" spans="1:16" ht="21.75" thickBot="1" x14ac:dyDescent="0.4">
      <c r="A3" s="34"/>
      <c r="B3" s="34"/>
      <c r="D3" s="74" t="s">
        <v>105</v>
      </c>
      <c r="E3" s="54"/>
      <c r="F3" s="54"/>
      <c r="G3" s="75" t="s">
        <v>57</v>
      </c>
      <c r="H3" s="75" t="s">
        <v>58</v>
      </c>
      <c r="I3" s="75" t="s">
        <v>59</v>
      </c>
      <c r="J3" s="75" t="s">
        <v>60</v>
      </c>
      <c r="K3" s="75" t="s">
        <v>61</v>
      </c>
      <c r="L3" s="75" t="s">
        <v>62</v>
      </c>
      <c r="M3" s="75" t="s">
        <v>63</v>
      </c>
      <c r="N3" s="75" t="s">
        <v>64</v>
      </c>
      <c r="O3" s="75" t="s">
        <v>65</v>
      </c>
      <c r="P3" s="76" t="s">
        <v>66</v>
      </c>
    </row>
    <row r="4" spans="1:16" x14ac:dyDescent="0.35">
      <c r="A4" s="34" t="s">
        <v>104</v>
      </c>
      <c r="B4" s="34" t="s">
        <v>103</v>
      </c>
      <c r="D4" s="28" t="s">
        <v>101</v>
      </c>
      <c r="G4" s="28">
        <v>189000</v>
      </c>
      <c r="H4" s="28">
        <v>152000</v>
      </c>
      <c r="I4" s="28">
        <v>121000</v>
      </c>
      <c r="J4" s="28">
        <v>198000</v>
      </c>
      <c r="K4" s="28">
        <v>159000</v>
      </c>
      <c r="L4" s="28">
        <v>120000</v>
      </c>
      <c r="M4" s="28">
        <v>103000</v>
      </c>
      <c r="N4" s="28">
        <v>157000</v>
      </c>
      <c r="O4" s="28">
        <v>186000</v>
      </c>
      <c r="P4" s="28">
        <v>128000</v>
      </c>
    </row>
    <row r="5" spans="1:16" x14ac:dyDescent="0.35">
      <c r="A5" s="34"/>
      <c r="B5" s="34" t="s">
        <v>103</v>
      </c>
      <c r="D5" s="28" t="s">
        <v>102</v>
      </c>
      <c r="G5" s="28">
        <v>-17000</v>
      </c>
      <c r="H5" s="28">
        <v>-11000</v>
      </c>
      <c r="I5" s="28">
        <v>-12000</v>
      </c>
      <c r="J5" s="28">
        <v>-18000</v>
      </c>
      <c r="K5" s="28">
        <v>-13000</v>
      </c>
      <c r="L5" s="28">
        <v>-13000</v>
      </c>
      <c r="M5" s="28">
        <v>-18000</v>
      </c>
      <c r="N5" s="28">
        <v>-17000</v>
      </c>
      <c r="O5" s="28">
        <v>-16000</v>
      </c>
      <c r="P5" s="28">
        <v>-20000</v>
      </c>
    </row>
    <row r="6" spans="1:16" x14ac:dyDescent="0.35">
      <c r="A6" s="34"/>
      <c r="B6" s="34"/>
      <c r="D6" s="73" t="s">
        <v>88</v>
      </c>
      <c r="E6" s="73"/>
      <c r="F6" s="73"/>
      <c r="G6" s="73">
        <f>+G4+G5</f>
        <v>172000</v>
      </c>
      <c r="H6" s="73">
        <f t="shared" ref="H6:P6" si="0">+H4+H5</f>
        <v>141000</v>
      </c>
      <c r="I6" s="73">
        <f t="shared" si="0"/>
        <v>109000</v>
      </c>
      <c r="J6" s="73">
        <f t="shared" si="0"/>
        <v>180000</v>
      </c>
      <c r="K6" s="73">
        <f t="shared" si="0"/>
        <v>146000</v>
      </c>
      <c r="L6" s="73">
        <f t="shared" si="0"/>
        <v>107000</v>
      </c>
      <c r="M6" s="73">
        <f t="shared" si="0"/>
        <v>85000</v>
      </c>
      <c r="N6" s="73">
        <f t="shared" si="0"/>
        <v>140000</v>
      </c>
      <c r="O6" s="73">
        <f t="shared" si="0"/>
        <v>170000</v>
      </c>
      <c r="P6" s="73">
        <f t="shared" si="0"/>
        <v>108000</v>
      </c>
    </row>
    <row r="7" spans="1:16" x14ac:dyDescent="0.35">
      <c r="A7" s="34"/>
      <c r="B7" s="34"/>
    </row>
    <row r="8" spans="1:16" x14ac:dyDescent="0.35">
      <c r="A8" s="34" t="s">
        <v>104</v>
      </c>
      <c r="B8" s="34" t="s">
        <v>103</v>
      </c>
      <c r="D8" s="28" t="s">
        <v>101</v>
      </c>
      <c r="G8" s="28">
        <v>189000</v>
      </c>
      <c r="H8" s="28">
        <v>152000</v>
      </c>
      <c r="I8" s="28">
        <v>121000</v>
      </c>
      <c r="J8" s="28">
        <v>198000</v>
      </c>
      <c r="K8" s="28">
        <v>159000</v>
      </c>
      <c r="L8" s="28">
        <v>120000</v>
      </c>
      <c r="M8" s="28">
        <v>103000</v>
      </c>
      <c r="N8" s="28">
        <v>157000</v>
      </c>
      <c r="O8" s="28">
        <v>186000</v>
      </c>
      <c r="P8" s="28">
        <v>128000</v>
      </c>
    </row>
    <row r="9" spans="1:16" x14ac:dyDescent="0.35">
      <c r="A9" s="34"/>
      <c r="B9" s="34" t="s">
        <v>103</v>
      </c>
      <c r="D9" s="28" t="s">
        <v>102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</row>
    <row r="10" spans="1:16" x14ac:dyDescent="0.35">
      <c r="A10" s="34"/>
      <c r="B10" s="34"/>
      <c r="D10" s="73" t="s">
        <v>89</v>
      </c>
      <c r="E10" s="73"/>
      <c r="F10" s="73"/>
      <c r="G10" s="73">
        <f>+G8+G9</f>
        <v>189000</v>
      </c>
      <c r="H10" s="73">
        <f t="shared" ref="H10" si="1">+H8+H9</f>
        <v>152000</v>
      </c>
      <c r="I10" s="73">
        <f t="shared" ref="I10" si="2">+I8+I9</f>
        <v>121000</v>
      </c>
      <c r="J10" s="73">
        <f t="shared" ref="J10" si="3">+J8+J9</f>
        <v>198000</v>
      </c>
      <c r="K10" s="73">
        <f t="shared" ref="K10" si="4">+K8+K9</f>
        <v>159000</v>
      </c>
      <c r="L10" s="73">
        <f t="shared" ref="L10" si="5">+L8+L9</f>
        <v>120000</v>
      </c>
      <c r="M10" s="73">
        <f t="shared" ref="M10" si="6">+M8+M9</f>
        <v>103000</v>
      </c>
      <c r="N10" s="73">
        <f t="shared" ref="N10" si="7">+N8+N9</f>
        <v>157000</v>
      </c>
      <c r="O10" s="73">
        <f t="shared" ref="O10" si="8">+O8+O9</f>
        <v>186000</v>
      </c>
      <c r="P10" s="73">
        <f t="shared" ref="P10" si="9">+P8+P9</f>
        <v>128000</v>
      </c>
    </row>
    <row r="11" spans="1:16" ht="21.75" thickBot="1" x14ac:dyDescent="0.4">
      <c r="A11" s="34"/>
      <c r="B11" s="34"/>
    </row>
    <row r="12" spans="1:16" ht="21.75" thickBot="1" x14ac:dyDescent="0.4">
      <c r="A12" s="34"/>
      <c r="B12" s="34"/>
      <c r="D12" s="77" t="s">
        <v>106</v>
      </c>
      <c r="E12" s="78"/>
      <c r="F12" s="78"/>
      <c r="G12" s="78">
        <f>+G10-G6</f>
        <v>17000</v>
      </c>
      <c r="H12" s="78">
        <f t="shared" ref="H12:P12" si="10">+H10-H6</f>
        <v>11000</v>
      </c>
      <c r="I12" s="78">
        <f t="shared" si="10"/>
        <v>12000</v>
      </c>
      <c r="J12" s="78">
        <f t="shared" si="10"/>
        <v>18000</v>
      </c>
      <c r="K12" s="78">
        <f t="shared" si="10"/>
        <v>13000</v>
      </c>
      <c r="L12" s="78">
        <f t="shared" si="10"/>
        <v>13000</v>
      </c>
      <c r="M12" s="78">
        <f t="shared" si="10"/>
        <v>18000</v>
      </c>
      <c r="N12" s="78">
        <f t="shared" si="10"/>
        <v>17000</v>
      </c>
      <c r="O12" s="78">
        <f t="shared" si="10"/>
        <v>16000</v>
      </c>
      <c r="P12" s="79">
        <f t="shared" si="10"/>
        <v>20000</v>
      </c>
    </row>
    <row r="13" spans="1:16" ht="21.75" thickBot="1" x14ac:dyDescent="0.4">
      <c r="A13" s="34"/>
      <c r="B13" s="34"/>
      <c r="D13" s="73" t="s">
        <v>107</v>
      </c>
      <c r="E13" s="73"/>
      <c r="F13" s="73"/>
      <c r="G13" s="73">
        <f>+G12*$E$1</f>
        <v>5100</v>
      </c>
      <c r="H13" s="73">
        <f t="shared" ref="H13:P13" si="11">+H12*$E$1</f>
        <v>3300</v>
      </c>
      <c r="I13" s="73">
        <f t="shared" si="11"/>
        <v>3600</v>
      </c>
      <c r="J13" s="73">
        <f t="shared" si="11"/>
        <v>5400</v>
      </c>
      <c r="K13" s="73">
        <f t="shared" si="11"/>
        <v>3900</v>
      </c>
      <c r="L13" s="73">
        <f t="shared" si="11"/>
        <v>3900</v>
      </c>
      <c r="M13" s="73">
        <f t="shared" si="11"/>
        <v>5400</v>
      </c>
      <c r="N13" s="73">
        <f t="shared" si="11"/>
        <v>5100</v>
      </c>
      <c r="O13" s="73">
        <f t="shared" si="11"/>
        <v>4800</v>
      </c>
      <c r="P13" s="73">
        <f t="shared" si="11"/>
        <v>6000</v>
      </c>
    </row>
    <row r="14" spans="1:16" ht="21.75" thickBot="1" x14ac:dyDescent="0.4">
      <c r="A14" s="34"/>
      <c r="B14" s="34"/>
      <c r="D14" s="53" t="s">
        <v>84</v>
      </c>
      <c r="E14" s="55"/>
      <c r="F14" s="55"/>
      <c r="G14" s="55">
        <f>+G13</f>
        <v>5100</v>
      </c>
      <c r="H14" s="55">
        <f t="shared" ref="H14:P14" si="12">+H13-G13</f>
        <v>-1800</v>
      </c>
      <c r="I14" s="55">
        <f t="shared" si="12"/>
        <v>300</v>
      </c>
      <c r="J14" s="55">
        <f t="shared" si="12"/>
        <v>1800</v>
      </c>
      <c r="K14" s="55">
        <f t="shared" si="12"/>
        <v>-1500</v>
      </c>
      <c r="L14" s="55">
        <f t="shared" si="12"/>
        <v>0</v>
      </c>
      <c r="M14" s="55">
        <f t="shared" si="12"/>
        <v>1500</v>
      </c>
      <c r="N14" s="55">
        <f t="shared" si="12"/>
        <v>-300</v>
      </c>
      <c r="O14" s="55">
        <f t="shared" si="12"/>
        <v>-300</v>
      </c>
      <c r="P14" s="81">
        <f t="shared" si="12"/>
        <v>1200</v>
      </c>
    </row>
    <row r="15" spans="1:16" x14ac:dyDescent="0.35">
      <c r="A15" s="34"/>
      <c r="B15" s="34"/>
    </row>
    <row r="16" spans="1:16" x14ac:dyDescent="0.35">
      <c r="A16" s="34"/>
      <c r="B16" s="34"/>
      <c r="D16" s="28" t="s">
        <v>102</v>
      </c>
    </row>
    <row r="17" spans="1:16" x14ac:dyDescent="0.35">
      <c r="A17" s="34"/>
      <c r="B17" s="34"/>
      <c r="D17" s="80" t="s">
        <v>108</v>
      </c>
      <c r="E17" s="80"/>
      <c r="F17" s="80"/>
      <c r="G17" s="80">
        <v>0</v>
      </c>
      <c r="H17" s="80">
        <f>+G19</f>
        <v>17000</v>
      </c>
      <c r="I17" s="80">
        <f t="shared" ref="I17:P17" si="13">+H19</f>
        <v>11000</v>
      </c>
      <c r="J17" s="80">
        <f t="shared" si="13"/>
        <v>12000</v>
      </c>
      <c r="K17" s="80">
        <f t="shared" si="13"/>
        <v>18000</v>
      </c>
      <c r="L17" s="80">
        <f t="shared" si="13"/>
        <v>13000</v>
      </c>
      <c r="M17" s="80">
        <f t="shared" si="13"/>
        <v>13000</v>
      </c>
      <c r="N17" s="80">
        <f t="shared" si="13"/>
        <v>18000</v>
      </c>
      <c r="O17" s="80">
        <f t="shared" si="13"/>
        <v>17000</v>
      </c>
      <c r="P17" s="80">
        <f t="shared" si="13"/>
        <v>16000</v>
      </c>
    </row>
    <row r="18" spans="1:16" x14ac:dyDescent="0.35">
      <c r="A18" s="34"/>
      <c r="B18" s="34"/>
      <c r="D18" s="28" t="s">
        <v>109</v>
      </c>
      <c r="G18" s="28">
        <f>+G19-G17</f>
        <v>17000</v>
      </c>
      <c r="H18" s="28">
        <f>+H19-H17</f>
        <v>-6000</v>
      </c>
      <c r="I18" s="28">
        <f t="shared" ref="I18:P18" si="14">+I19-I17</f>
        <v>1000</v>
      </c>
      <c r="J18" s="28">
        <f t="shared" si="14"/>
        <v>6000</v>
      </c>
      <c r="K18" s="28">
        <f t="shared" si="14"/>
        <v>-5000</v>
      </c>
      <c r="L18" s="28">
        <f t="shared" si="14"/>
        <v>0</v>
      </c>
      <c r="M18" s="28">
        <f t="shared" si="14"/>
        <v>5000</v>
      </c>
      <c r="N18" s="28">
        <f t="shared" si="14"/>
        <v>-1000</v>
      </c>
      <c r="O18" s="28">
        <f t="shared" si="14"/>
        <v>-1000</v>
      </c>
      <c r="P18" s="28">
        <f t="shared" si="14"/>
        <v>4000</v>
      </c>
    </row>
    <row r="19" spans="1:16" x14ac:dyDescent="0.35">
      <c r="A19" s="34"/>
      <c r="B19" s="34"/>
      <c r="D19" s="80" t="s">
        <v>110</v>
      </c>
      <c r="E19" s="80"/>
      <c r="F19" s="80"/>
      <c r="G19" s="80">
        <f>-+G5</f>
        <v>17000</v>
      </c>
      <c r="H19" s="80">
        <f t="shared" ref="H19:P19" si="15">-+H5</f>
        <v>11000</v>
      </c>
      <c r="I19" s="80">
        <f t="shared" si="15"/>
        <v>12000</v>
      </c>
      <c r="J19" s="80">
        <f t="shared" si="15"/>
        <v>18000</v>
      </c>
      <c r="K19" s="80">
        <f t="shared" si="15"/>
        <v>13000</v>
      </c>
      <c r="L19" s="80">
        <f t="shared" si="15"/>
        <v>13000</v>
      </c>
      <c r="M19" s="80">
        <f t="shared" si="15"/>
        <v>18000</v>
      </c>
      <c r="N19" s="80">
        <f t="shared" si="15"/>
        <v>17000</v>
      </c>
      <c r="O19" s="80">
        <f t="shared" si="15"/>
        <v>16000</v>
      </c>
      <c r="P19" s="80">
        <f t="shared" si="15"/>
        <v>20000</v>
      </c>
    </row>
    <row r="20" spans="1:16" ht="21.75" thickBot="1" x14ac:dyDescent="0.4">
      <c r="A20" s="34"/>
      <c r="B20" s="34"/>
    </row>
    <row r="21" spans="1:16" x14ac:dyDescent="0.35">
      <c r="D21" s="38" t="s">
        <v>56</v>
      </c>
      <c r="E21" s="39"/>
      <c r="F21" s="39"/>
      <c r="G21" s="31" t="s">
        <v>57</v>
      </c>
      <c r="H21" s="31" t="s">
        <v>58</v>
      </c>
      <c r="I21" s="31" t="s">
        <v>59</v>
      </c>
      <c r="J21" s="31" t="s">
        <v>60</v>
      </c>
      <c r="K21" s="31" t="s">
        <v>61</v>
      </c>
      <c r="L21" s="31" t="s">
        <v>62</v>
      </c>
      <c r="M21" s="31" t="s">
        <v>63</v>
      </c>
      <c r="N21" s="31" t="s">
        <v>64</v>
      </c>
      <c r="O21" s="31" t="s">
        <v>65</v>
      </c>
      <c r="P21" s="32" t="s">
        <v>66</v>
      </c>
    </row>
    <row r="22" spans="1:16" x14ac:dyDescent="0.35"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</row>
    <row r="23" spans="1:16" x14ac:dyDescent="0.35">
      <c r="D23" s="33" t="s">
        <v>111</v>
      </c>
      <c r="E23" s="34"/>
      <c r="F23" s="34"/>
      <c r="G23" s="34">
        <f t="shared" ref="G23:O23" si="16">+G18</f>
        <v>17000</v>
      </c>
      <c r="H23" s="34">
        <f t="shared" si="16"/>
        <v>-6000</v>
      </c>
      <c r="I23" s="34">
        <f t="shared" si="16"/>
        <v>1000</v>
      </c>
      <c r="J23" s="34">
        <f t="shared" si="16"/>
        <v>6000</v>
      </c>
      <c r="K23" s="34">
        <f t="shared" si="16"/>
        <v>-5000</v>
      </c>
      <c r="L23" s="34">
        <f t="shared" si="16"/>
        <v>0</v>
      </c>
      <c r="M23" s="34">
        <f t="shared" si="16"/>
        <v>5000</v>
      </c>
      <c r="N23" s="34">
        <f t="shared" si="16"/>
        <v>-1000</v>
      </c>
      <c r="O23" s="34">
        <f t="shared" si="16"/>
        <v>-1000</v>
      </c>
      <c r="P23" s="34">
        <f t="shared" ref="P23" si="17">+P18</f>
        <v>4000</v>
      </c>
    </row>
    <row r="24" spans="1:16" x14ac:dyDescent="0.35">
      <c r="D24" s="33" t="s">
        <v>112</v>
      </c>
      <c r="E24" s="34"/>
      <c r="F24" s="34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x14ac:dyDescent="0.35"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</row>
    <row r="26" spans="1:16" x14ac:dyDescent="0.35">
      <c r="D26" s="36" t="s">
        <v>69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</row>
    <row r="27" spans="1:16" x14ac:dyDescent="0.35">
      <c r="A27" s="30" t="s">
        <v>70</v>
      </c>
      <c r="D27" s="33" t="s">
        <v>67</v>
      </c>
      <c r="E27" s="34"/>
      <c r="F27" s="34"/>
      <c r="G27" s="34">
        <f>+G23*$E$1</f>
        <v>5100</v>
      </c>
      <c r="H27" s="34">
        <f t="shared" ref="H27:P28" si="18">+H23*$E$1</f>
        <v>-1800</v>
      </c>
      <c r="I27" s="34">
        <f t="shared" si="18"/>
        <v>300</v>
      </c>
      <c r="J27" s="34">
        <f t="shared" si="18"/>
        <v>1800</v>
      </c>
      <c r="K27" s="34">
        <f t="shared" si="18"/>
        <v>-1500</v>
      </c>
      <c r="L27" s="34">
        <f t="shared" si="18"/>
        <v>0</v>
      </c>
      <c r="M27" s="34">
        <f t="shared" si="18"/>
        <v>1500</v>
      </c>
      <c r="N27" s="34">
        <f t="shared" si="18"/>
        <v>-300</v>
      </c>
      <c r="O27" s="34">
        <f t="shared" si="18"/>
        <v>-300</v>
      </c>
      <c r="P27" s="35">
        <f t="shared" si="18"/>
        <v>1200</v>
      </c>
    </row>
    <row r="28" spans="1:16" ht="21.75" thickBot="1" x14ac:dyDescent="0.4">
      <c r="A28" s="30" t="s">
        <v>71</v>
      </c>
      <c r="D28" s="33" t="s">
        <v>68</v>
      </c>
      <c r="E28" s="34"/>
      <c r="F28" s="34"/>
      <c r="G28" s="34">
        <f>+G24*$E$1</f>
        <v>0</v>
      </c>
      <c r="H28" s="34">
        <f t="shared" si="18"/>
        <v>0</v>
      </c>
      <c r="I28" s="34">
        <f t="shared" si="18"/>
        <v>0</v>
      </c>
      <c r="J28" s="34">
        <f t="shared" si="18"/>
        <v>0</v>
      </c>
      <c r="K28" s="34">
        <f t="shared" si="18"/>
        <v>0</v>
      </c>
      <c r="L28" s="34">
        <f t="shared" si="18"/>
        <v>0</v>
      </c>
      <c r="M28" s="34">
        <f t="shared" si="18"/>
        <v>0</v>
      </c>
      <c r="N28" s="34">
        <f t="shared" si="18"/>
        <v>0</v>
      </c>
      <c r="O28" s="34">
        <f t="shared" si="18"/>
        <v>0</v>
      </c>
      <c r="P28" s="35">
        <f t="shared" si="18"/>
        <v>0</v>
      </c>
    </row>
    <row r="29" spans="1:16" ht="21.75" thickBot="1" x14ac:dyDescent="0.4">
      <c r="D29" s="53" t="s">
        <v>73</v>
      </c>
      <c r="E29" s="55"/>
      <c r="F29" s="55"/>
      <c r="G29" s="55">
        <f>+G27-G28</f>
        <v>5100</v>
      </c>
      <c r="H29" s="55">
        <f>+H27-H28</f>
        <v>-1800</v>
      </c>
      <c r="I29" s="55">
        <f t="shared" ref="I29:P29" si="19">+I27-I28</f>
        <v>300</v>
      </c>
      <c r="J29" s="55">
        <f t="shared" si="19"/>
        <v>1800</v>
      </c>
      <c r="K29" s="55">
        <f t="shared" si="19"/>
        <v>-1500</v>
      </c>
      <c r="L29" s="55">
        <f t="shared" si="19"/>
        <v>0</v>
      </c>
      <c r="M29" s="55">
        <f t="shared" si="19"/>
        <v>1500</v>
      </c>
      <c r="N29" s="55">
        <f t="shared" si="19"/>
        <v>-300</v>
      </c>
      <c r="O29" s="55">
        <f t="shared" si="19"/>
        <v>-300</v>
      </c>
      <c r="P29" s="81">
        <f t="shared" si="19"/>
        <v>1200</v>
      </c>
    </row>
    <row r="30" spans="1:16" ht="21.75" thickBot="1" x14ac:dyDescent="0.4">
      <c r="D30" s="46" t="s">
        <v>72</v>
      </c>
      <c r="E30" s="47"/>
      <c r="F30" s="47"/>
      <c r="G30" s="48">
        <f>+G29</f>
        <v>5100</v>
      </c>
      <c r="H30" s="49">
        <f t="shared" ref="H30:P30" si="20">+G30+H29</f>
        <v>3300</v>
      </c>
      <c r="I30" s="49">
        <f t="shared" si="20"/>
        <v>3600</v>
      </c>
      <c r="J30" s="49">
        <f t="shared" si="20"/>
        <v>5400</v>
      </c>
      <c r="K30" s="49">
        <f t="shared" si="20"/>
        <v>3900</v>
      </c>
      <c r="L30" s="49">
        <f t="shared" si="20"/>
        <v>3900</v>
      </c>
      <c r="M30" s="49">
        <f t="shared" si="20"/>
        <v>5400</v>
      </c>
      <c r="N30" s="49">
        <f t="shared" si="20"/>
        <v>5100</v>
      </c>
      <c r="O30" s="49">
        <f t="shared" si="20"/>
        <v>4800</v>
      </c>
      <c r="P30" s="50">
        <f t="shared" si="20"/>
        <v>6000</v>
      </c>
    </row>
    <row r="31" spans="1:16" ht="21.75" thickBot="1" x14ac:dyDescent="0.4"/>
    <row r="32" spans="1:16" x14ac:dyDescent="0.35">
      <c r="D32" s="38" t="s">
        <v>74</v>
      </c>
      <c r="E32" s="39"/>
      <c r="F32" s="39"/>
      <c r="G32" s="31" t="s">
        <v>57</v>
      </c>
      <c r="H32" s="31" t="s">
        <v>58</v>
      </c>
      <c r="I32" s="31" t="s">
        <v>59</v>
      </c>
      <c r="J32" s="31" t="s">
        <v>60</v>
      </c>
      <c r="K32" s="31" t="s">
        <v>61</v>
      </c>
      <c r="L32" s="31" t="s">
        <v>62</v>
      </c>
      <c r="M32" s="31" t="s">
        <v>63</v>
      </c>
      <c r="N32" s="31" t="s">
        <v>64</v>
      </c>
      <c r="O32" s="31" t="s">
        <v>65</v>
      </c>
      <c r="P32" s="32" t="s">
        <v>66</v>
      </c>
    </row>
    <row r="33" spans="2:16" x14ac:dyDescent="0.35"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</row>
    <row r="34" spans="2:16" s="29" customFormat="1" x14ac:dyDescent="0.35">
      <c r="D34" s="36" t="s">
        <v>75</v>
      </c>
      <c r="E34" s="40"/>
      <c r="F34" s="40"/>
      <c r="G34" s="40">
        <v>800000</v>
      </c>
      <c r="H34" s="40">
        <v>800000</v>
      </c>
      <c r="I34" s="40">
        <v>800000</v>
      </c>
      <c r="J34" s="40">
        <v>800000</v>
      </c>
      <c r="K34" s="40">
        <v>800000</v>
      </c>
      <c r="L34" s="40">
        <v>800000</v>
      </c>
      <c r="M34" s="40">
        <v>800000</v>
      </c>
      <c r="N34" s="40">
        <v>800000</v>
      </c>
      <c r="O34" s="40">
        <v>800000</v>
      </c>
      <c r="P34" s="41">
        <v>800000</v>
      </c>
    </row>
    <row r="35" spans="2:16" x14ac:dyDescent="0.35"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  <row r="36" spans="2:16" x14ac:dyDescent="0.35">
      <c r="D36" s="33" t="s">
        <v>113</v>
      </c>
      <c r="E36" s="34"/>
      <c r="F36" s="34"/>
      <c r="G36" s="34">
        <f>+G18</f>
        <v>17000</v>
      </c>
      <c r="H36" s="34">
        <v>0</v>
      </c>
      <c r="I36" s="34">
        <f>+I18</f>
        <v>1000</v>
      </c>
      <c r="J36" s="34">
        <f>+J18</f>
        <v>6000</v>
      </c>
      <c r="K36" s="34">
        <v>0</v>
      </c>
      <c r="L36" s="34">
        <f>+L18</f>
        <v>0</v>
      </c>
      <c r="M36" s="34">
        <f>+M18</f>
        <v>5000</v>
      </c>
      <c r="N36" s="34">
        <v>0</v>
      </c>
      <c r="O36" s="34">
        <v>0</v>
      </c>
      <c r="P36" s="35">
        <f t="shared" ref="P36" si="21">+P23</f>
        <v>4000</v>
      </c>
    </row>
    <row r="37" spans="2:16" x14ac:dyDescent="0.35">
      <c r="D37" s="33" t="s">
        <v>114</v>
      </c>
      <c r="E37" s="34"/>
      <c r="F37" s="34"/>
      <c r="G37" s="34">
        <f>-G24</f>
        <v>0</v>
      </c>
      <c r="H37" s="34">
        <f>+H18</f>
        <v>-6000</v>
      </c>
      <c r="I37" s="34">
        <f t="shared" ref="I37:P37" si="22">-I24</f>
        <v>0</v>
      </c>
      <c r="J37" s="34">
        <f t="shared" si="22"/>
        <v>0</v>
      </c>
      <c r="K37" s="34">
        <f>+K18</f>
        <v>-5000</v>
      </c>
      <c r="L37" s="34">
        <f t="shared" si="22"/>
        <v>0</v>
      </c>
      <c r="M37" s="34">
        <f t="shared" si="22"/>
        <v>0</v>
      </c>
      <c r="N37" s="34">
        <f>+N18</f>
        <v>-1000</v>
      </c>
      <c r="O37" s="34">
        <f>+O18</f>
        <v>-1000</v>
      </c>
      <c r="P37" s="35">
        <f t="shared" si="22"/>
        <v>0</v>
      </c>
    </row>
    <row r="38" spans="2:16" x14ac:dyDescent="0.35"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</row>
    <row r="39" spans="2:16" s="29" customFormat="1" x14ac:dyDescent="0.35">
      <c r="D39" s="36" t="s">
        <v>78</v>
      </c>
      <c r="E39" s="40"/>
      <c r="F39" s="40"/>
      <c r="G39" s="40">
        <f>SUM(G34:G37)</f>
        <v>817000</v>
      </c>
      <c r="H39" s="40">
        <f t="shared" ref="H39:P39" si="23">SUM(H34:H37)</f>
        <v>794000</v>
      </c>
      <c r="I39" s="40">
        <f t="shared" si="23"/>
        <v>801000</v>
      </c>
      <c r="J39" s="40">
        <f t="shared" si="23"/>
        <v>806000</v>
      </c>
      <c r="K39" s="40">
        <f t="shared" si="23"/>
        <v>795000</v>
      </c>
      <c r="L39" s="40">
        <f t="shared" si="23"/>
        <v>800000</v>
      </c>
      <c r="M39" s="40">
        <f t="shared" si="23"/>
        <v>805000</v>
      </c>
      <c r="N39" s="40">
        <f t="shared" si="23"/>
        <v>799000</v>
      </c>
      <c r="O39" s="40">
        <f t="shared" si="23"/>
        <v>799000</v>
      </c>
      <c r="P39" s="41">
        <f t="shared" si="23"/>
        <v>804000</v>
      </c>
    </row>
    <row r="40" spans="2:16" x14ac:dyDescent="0.35"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/>
    </row>
    <row r="41" spans="2:16" x14ac:dyDescent="0.35">
      <c r="B41" s="28" t="s">
        <v>81</v>
      </c>
      <c r="D41" s="33" t="s">
        <v>79</v>
      </c>
      <c r="E41" s="34"/>
      <c r="F41" s="34"/>
      <c r="G41" s="34">
        <f t="shared" ref="G41:P41" si="24">+G36+G37</f>
        <v>17000</v>
      </c>
      <c r="H41" s="34">
        <f t="shared" si="24"/>
        <v>-6000</v>
      </c>
      <c r="I41" s="34">
        <f t="shared" si="24"/>
        <v>1000</v>
      </c>
      <c r="J41" s="34">
        <f t="shared" si="24"/>
        <v>6000</v>
      </c>
      <c r="K41" s="34">
        <f t="shared" si="24"/>
        <v>-5000</v>
      </c>
      <c r="L41" s="34">
        <f t="shared" si="24"/>
        <v>0</v>
      </c>
      <c r="M41" s="34">
        <f t="shared" si="24"/>
        <v>5000</v>
      </c>
      <c r="N41" s="34">
        <f t="shared" si="24"/>
        <v>-1000</v>
      </c>
      <c r="O41" s="34">
        <f t="shared" si="24"/>
        <v>-1000</v>
      </c>
      <c r="P41" s="35">
        <f t="shared" si="24"/>
        <v>4000</v>
      </c>
    </row>
    <row r="42" spans="2:16" x14ac:dyDescent="0.35">
      <c r="B42" s="28" t="s">
        <v>82</v>
      </c>
      <c r="D42" s="33" t="s">
        <v>80</v>
      </c>
      <c r="E42" s="34"/>
      <c r="F42" s="34"/>
      <c r="G42" s="34">
        <f>+G41</f>
        <v>17000</v>
      </c>
      <c r="H42" s="34">
        <f>+G42+H41</f>
        <v>11000</v>
      </c>
      <c r="I42" s="34">
        <f t="shared" ref="I42:P42" si="25">+H42+I41</f>
        <v>12000</v>
      </c>
      <c r="J42" s="34">
        <f t="shared" si="25"/>
        <v>18000</v>
      </c>
      <c r="K42" s="34">
        <f t="shared" si="25"/>
        <v>13000</v>
      </c>
      <c r="L42" s="34">
        <f t="shared" si="25"/>
        <v>13000</v>
      </c>
      <c r="M42" s="34">
        <f t="shared" si="25"/>
        <v>18000</v>
      </c>
      <c r="N42" s="34">
        <f t="shared" si="25"/>
        <v>17000</v>
      </c>
      <c r="O42" s="34">
        <f t="shared" si="25"/>
        <v>16000</v>
      </c>
      <c r="P42" s="35">
        <f t="shared" si="25"/>
        <v>20000</v>
      </c>
    </row>
    <row r="43" spans="2:16" ht="21.75" thickBot="1" x14ac:dyDescent="0.4"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</row>
    <row r="44" spans="2:16" ht="21.75" thickBot="1" x14ac:dyDescent="0.4">
      <c r="B44" s="42" t="s">
        <v>83</v>
      </c>
      <c r="D44" s="53" t="s">
        <v>84</v>
      </c>
      <c r="E44" s="55"/>
      <c r="F44" s="55"/>
      <c r="G44" s="55">
        <f>G41*$E$1</f>
        <v>5100</v>
      </c>
      <c r="H44" s="55">
        <f t="shared" ref="H44:P45" si="26">H41*$E$1</f>
        <v>-1800</v>
      </c>
      <c r="I44" s="55">
        <f t="shared" si="26"/>
        <v>300</v>
      </c>
      <c r="J44" s="55">
        <f t="shared" si="26"/>
        <v>1800</v>
      </c>
      <c r="K44" s="55">
        <f t="shared" si="26"/>
        <v>-1500</v>
      </c>
      <c r="L44" s="55">
        <f t="shared" si="26"/>
        <v>0</v>
      </c>
      <c r="M44" s="55">
        <f t="shared" si="26"/>
        <v>1500</v>
      </c>
      <c r="N44" s="55">
        <f t="shared" si="26"/>
        <v>-300</v>
      </c>
      <c r="O44" s="55">
        <f t="shared" si="26"/>
        <v>-300</v>
      </c>
      <c r="P44" s="81">
        <f t="shared" si="26"/>
        <v>1200</v>
      </c>
    </row>
    <row r="45" spans="2:16" ht="21.75" thickBot="1" x14ac:dyDescent="0.4">
      <c r="B45" s="42" t="s">
        <v>85</v>
      </c>
      <c r="D45" s="46" t="s">
        <v>86</v>
      </c>
      <c r="E45" s="47"/>
      <c r="F45" s="47"/>
      <c r="G45" s="48">
        <f>G42*$E$1</f>
        <v>5100</v>
      </c>
      <c r="H45" s="49">
        <f t="shared" si="26"/>
        <v>3300</v>
      </c>
      <c r="I45" s="49">
        <f t="shared" si="26"/>
        <v>3600</v>
      </c>
      <c r="J45" s="49">
        <f t="shared" si="26"/>
        <v>5400</v>
      </c>
      <c r="K45" s="49">
        <f t="shared" si="26"/>
        <v>3900</v>
      </c>
      <c r="L45" s="49">
        <f t="shared" si="26"/>
        <v>3900</v>
      </c>
      <c r="M45" s="49">
        <f t="shared" si="26"/>
        <v>5400</v>
      </c>
      <c r="N45" s="49">
        <f t="shared" si="26"/>
        <v>5100</v>
      </c>
      <c r="O45" s="49">
        <f t="shared" si="26"/>
        <v>4800</v>
      </c>
      <c r="P45" s="50">
        <f t="shared" si="26"/>
        <v>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E1F6-8754-4744-8CFA-B930EB88E47A}">
  <sheetPr>
    <tabColor theme="1"/>
  </sheetPr>
  <dimension ref="A1:J255"/>
  <sheetViews>
    <sheetView zoomScale="140" zoomScaleNormal="140" workbookViewId="0">
      <selection activeCell="E17" sqref="E17:K17"/>
    </sheetView>
  </sheetViews>
  <sheetFormatPr baseColWidth="10" defaultRowHeight="15" x14ac:dyDescent="0.25"/>
  <cols>
    <col min="2" max="2" width="13.7109375" customWidth="1"/>
    <col min="7" max="7" width="16.140625" customWidth="1"/>
    <col min="8" max="8" width="12.42578125" customWidth="1"/>
  </cols>
  <sheetData>
    <row r="1" spans="1:10" x14ac:dyDescent="0.25">
      <c r="A1" s="268" t="s">
        <v>205</v>
      </c>
      <c r="B1" s="268"/>
      <c r="C1" s="268"/>
      <c r="D1" s="268"/>
      <c r="E1" s="268"/>
      <c r="F1" s="268"/>
      <c r="G1" s="284" t="s">
        <v>272</v>
      </c>
    </row>
    <row r="2" spans="1:10" x14ac:dyDescent="0.25">
      <c r="A2" s="84" t="s">
        <v>206</v>
      </c>
      <c r="B2" s="84"/>
      <c r="C2" s="84"/>
      <c r="D2" s="84"/>
      <c r="E2" s="84"/>
      <c r="F2" s="84"/>
      <c r="G2" s="84"/>
    </row>
    <row r="3" spans="1:10" x14ac:dyDescent="0.25">
      <c r="A3" s="84" t="s">
        <v>208</v>
      </c>
      <c r="B3" s="84"/>
      <c r="C3" s="84"/>
      <c r="D3" s="84"/>
      <c r="E3" s="84"/>
      <c r="F3" s="84"/>
      <c r="G3" s="84"/>
      <c r="I3" s="287">
        <v>45294</v>
      </c>
      <c r="J3" s="20">
        <v>40000000</v>
      </c>
    </row>
    <row r="4" spans="1:10" x14ac:dyDescent="0.25">
      <c r="A4" s="84" t="s">
        <v>207</v>
      </c>
      <c r="B4" s="84"/>
      <c r="C4" s="84"/>
      <c r="D4" s="84"/>
      <c r="E4" s="84"/>
      <c r="F4" s="84"/>
      <c r="G4" s="84"/>
    </row>
    <row r="5" spans="1:10" x14ac:dyDescent="0.25">
      <c r="A5" s="84"/>
      <c r="B5" s="84" t="s">
        <v>210</v>
      </c>
      <c r="C5" s="84"/>
      <c r="D5" s="84"/>
      <c r="E5" s="84"/>
      <c r="F5" s="84"/>
      <c r="G5" s="84"/>
      <c r="I5">
        <v>60</v>
      </c>
    </row>
    <row r="6" spans="1:10" x14ac:dyDescent="0.25">
      <c r="A6" s="84"/>
      <c r="B6" s="84" t="s">
        <v>209</v>
      </c>
      <c r="C6" s="84"/>
      <c r="D6" s="84"/>
      <c r="E6" s="84"/>
      <c r="F6" s="84"/>
      <c r="G6" s="84"/>
    </row>
    <row r="7" spans="1:10" x14ac:dyDescent="0.25">
      <c r="A7" s="84"/>
      <c r="B7" s="84" t="s">
        <v>237</v>
      </c>
      <c r="C7" s="84"/>
      <c r="D7" s="84"/>
      <c r="E7" s="84"/>
      <c r="F7" s="84"/>
      <c r="G7" s="84"/>
      <c r="I7" s="287">
        <f>+I3+I5</f>
        <v>45354</v>
      </c>
    </row>
    <row r="8" spans="1:10" x14ac:dyDescent="0.25">
      <c r="A8" s="84"/>
      <c r="B8" s="84" t="s">
        <v>238</v>
      </c>
      <c r="C8" s="84"/>
      <c r="D8" s="84"/>
      <c r="E8" s="84"/>
      <c r="F8" s="84"/>
      <c r="G8" s="84"/>
    </row>
    <row r="9" spans="1:10" x14ac:dyDescent="0.25">
      <c r="A9" s="84"/>
      <c r="B9" s="84" t="s">
        <v>211</v>
      </c>
      <c r="C9" s="84"/>
      <c r="D9" s="84"/>
      <c r="E9" s="84"/>
      <c r="F9" s="84"/>
      <c r="G9" s="84"/>
    </row>
    <row r="10" spans="1:10" x14ac:dyDescent="0.25">
      <c r="A10" s="84"/>
      <c r="B10" s="84" t="s">
        <v>239</v>
      </c>
      <c r="C10" s="84"/>
      <c r="D10" s="84"/>
      <c r="E10" s="84"/>
      <c r="F10" s="84"/>
      <c r="G10" s="84"/>
    </row>
    <row r="11" spans="1:10" x14ac:dyDescent="0.25">
      <c r="A11" s="84"/>
      <c r="B11" s="86" t="s">
        <v>240</v>
      </c>
      <c r="C11" s="86"/>
      <c r="D11" s="86"/>
      <c r="E11" s="86"/>
      <c r="F11" s="86"/>
      <c r="G11" s="84"/>
    </row>
    <row r="13" spans="1:10" x14ac:dyDescent="0.25">
      <c r="A13" s="4" t="s">
        <v>241</v>
      </c>
    </row>
    <row r="14" spans="1:10" x14ac:dyDescent="0.25">
      <c r="E14" s="100" t="s">
        <v>37</v>
      </c>
      <c r="F14" s="100" t="s">
        <v>38</v>
      </c>
    </row>
    <row r="15" spans="1:10" x14ac:dyDescent="0.25">
      <c r="B15" s="9" t="s">
        <v>242</v>
      </c>
      <c r="C15" s="9"/>
      <c r="D15" s="9"/>
      <c r="E15" s="279">
        <f>+F16</f>
        <v>40000000</v>
      </c>
      <c r="F15" s="9"/>
      <c r="G15" t="s">
        <v>263</v>
      </c>
    </row>
    <row r="16" spans="1:10" x14ac:dyDescent="0.25">
      <c r="B16" s="11" t="s">
        <v>36</v>
      </c>
      <c r="C16" s="11"/>
      <c r="D16" s="11"/>
      <c r="E16" s="11"/>
      <c r="F16" s="288">
        <v>40000000</v>
      </c>
    </row>
    <row r="18" spans="1:6" x14ac:dyDescent="0.25">
      <c r="B18" t="s">
        <v>243</v>
      </c>
    </row>
    <row r="20" spans="1:6" x14ac:dyDescent="0.25">
      <c r="A20" s="4" t="s">
        <v>244</v>
      </c>
    </row>
    <row r="21" spans="1:6" x14ac:dyDescent="0.25">
      <c r="B21" t="s">
        <v>245</v>
      </c>
      <c r="E21" s="20">
        <v>200000</v>
      </c>
    </row>
    <row r="22" spans="1:6" x14ac:dyDescent="0.25">
      <c r="B22" s="269" t="s">
        <v>246</v>
      </c>
    </row>
    <row r="23" spans="1:6" x14ac:dyDescent="0.25">
      <c r="B23" t="s">
        <v>247</v>
      </c>
      <c r="E23" s="20">
        <v>400000</v>
      </c>
    </row>
    <row r="25" spans="1:6" x14ac:dyDescent="0.25">
      <c r="E25" s="100" t="s">
        <v>37</v>
      </c>
      <c r="F25" s="100" t="s">
        <v>38</v>
      </c>
    </row>
    <row r="26" spans="1:6" x14ac:dyDescent="0.25">
      <c r="B26" s="9" t="s">
        <v>36</v>
      </c>
      <c r="C26" s="9"/>
      <c r="D26" s="9"/>
      <c r="E26" s="279">
        <f>+E23</f>
        <v>400000</v>
      </c>
      <c r="F26" s="9"/>
    </row>
    <row r="27" spans="1:6" x14ac:dyDescent="0.25">
      <c r="B27" s="9" t="s">
        <v>248</v>
      </c>
      <c r="C27" s="9"/>
      <c r="D27" s="9"/>
      <c r="E27" s="9"/>
      <c r="F27" s="279">
        <f>+E26</f>
        <v>400000</v>
      </c>
    </row>
    <row r="29" spans="1:6" x14ac:dyDescent="0.25">
      <c r="E29" s="100" t="s">
        <v>37</v>
      </c>
      <c r="F29" s="100" t="s">
        <v>38</v>
      </c>
    </row>
    <row r="30" spans="1:6" x14ac:dyDescent="0.25">
      <c r="B30" s="9" t="s">
        <v>245</v>
      </c>
      <c r="C30" s="9"/>
      <c r="D30" s="9"/>
      <c r="E30" s="279">
        <f>+E21</f>
        <v>200000</v>
      </c>
      <c r="F30" s="9"/>
    </row>
    <row r="31" spans="1:6" x14ac:dyDescent="0.25">
      <c r="B31" s="9" t="s">
        <v>36</v>
      </c>
      <c r="C31" s="9"/>
      <c r="D31" s="9"/>
      <c r="E31" s="9"/>
      <c r="F31" s="279">
        <f>+E30</f>
        <v>200000</v>
      </c>
    </row>
    <row r="34" spans="1:7" x14ac:dyDescent="0.25">
      <c r="A34" s="268" t="s">
        <v>249</v>
      </c>
      <c r="B34" s="268"/>
      <c r="C34" s="268"/>
      <c r="D34" s="268"/>
      <c r="E34" s="268"/>
      <c r="F34" s="268"/>
      <c r="G34" s="284" t="s">
        <v>271</v>
      </c>
    </row>
    <row r="35" spans="1:7" x14ac:dyDescent="0.25">
      <c r="A35" s="84" t="s">
        <v>206</v>
      </c>
      <c r="B35" s="84"/>
      <c r="C35" s="84"/>
      <c r="D35" s="84"/>
      <c r="E35" s="84"/>
      <c r="F35" s="84"/>
      <c r="G35" s="84"/>
    </row>
    <row r="36" spans="1:7" x14ac:dyDescent="0.25">
      <c r="A36" s="84" t="s">
        <v>250</v>
      </c>
      <c r="B36" s="84"/>
      <c r="C36" s="84"/>
      <c r="D36" s="84"/>
      <c r="E36" s="84"/>
      <c r="F36" s="84"/>
      <c r="G36" s="84"/>
    </row>
    <row r="37" spans="1:7" x14ac:dyDescent="0.25">
      <c r="A37" s="84" t="s">
        <v>207</v>
      </c>
      <c r="B37" s="84"/>
      <c r="C37" s="84"/>
      <c r="D37" s="84"/>
      <c r="E37" s="84"/>
      <c r="F37" s="84"/>
      <c r="G37" s="84"/>
    </row>
    <row r="38" spans="1:7" x14ac:dyDescent="0.25">
      <c r="A38" s="84"/>
      <c r="B38" s="84" t="s">
        <v>210</v>
      </c>
      <c r="C38" s="84"/>
      <c r="D38" s="84"/>
      <c r="E38" s="84"/>
      <c r="F38" s="84"/>
      <c r="G38" s="84"/>
    </row>
    <row r="39" spans="1:7" x14ac:dyDescent="0.25">
      <c r="A39" s="84"/>
      <c r="B39" s="84" t="s">
        <v>261</v>
      </c>
      <c r="C39" s="84"/>
      <c r="D39" s="84"/>
      <c r="E39" s="84"/>
      <c r="F39" s="84"/>
      <c r="G39" s="84"/>
    </row>
    <row r="40" spans="1:7" x14ac:dyDescent="0.25">
      <c r="A40" s="84"/>
      <c r="B40" s="84" t="s">
        <v>260</v>
      </c>
      <c r="C40" s="84"/>
      <c r="D40" s="84"/>
      <c r="E40" s="84"/>
      <c r="F40" s="84"/>
      <c r="G40" s="84"/>
    </row>
    <row r="41" spans="1:7" x14ac:dyDescent="0.25">
      <c r="A41" s="84"/>
      <c r="B41" s="86" t="s">
        <v>251</v>
      </c>
      <c r="C41" s="84"/>
      <c r="D41" s="84"/>
      <c r="E41" s="84"/>
      <c r="F41" s="84"/>
      <c r="G41" s="84"/>
    </row>
    <row r="42" spans="1:7" x14ac:dyDescent="0.25">
      <c r="A42" s="84"/>
      <c r="B42" s="84" t="s">
        <v>211</v>
      </c>
      <c r="C42" s="84"/>
      <c r="D42" s="84"/>
      <c r="E42" s="84"/>
      <c r="F42" s="84"/>
      <c r="G42" s="84"/>
    </row>
    <row r="43" spans="1:7" x14ac:dyDescent="0.25">
      <c r="A43" s="84"/>
      <c r="B43" s="84" t="s">
        <v>252</v>
      </c>
      <c r="C43" s="84"/>
      <c r="D43" s="84"/>
      <c r="E43" s="84"/>
      <c r="F43" s="84"/>
      <c r="G43" s="84"/>
    </row>
    <row r="44" spans="1:7" x14ac:dyDescent="0.25">
      <c r="A44" s="84"/>
      <c r="B44" s="84" t="s">
        <v>240</v>
      </c>
      <c r="C44" s="84"/>
      <c r="D44" s="84"/>
      <c r="E44" s="84"/>
      <c r="F44" s="84"/>
      <c r="G44" s="84"/>
    </row>
    <row r="45" spans="1:7" x14ac:dyDescent="0.25">
      <c r="A45" s="84"/>
      <c r="B45" s="84" t="s">
        <v>253</v>
      </c>
      <c r="C45" s="84"/>
      <c r="D45" s="84"/>
      <c r="E45" s="84"/>
      <c r="F45" s="84"/>
      <c r="G45" s="84"/>
    </row>
    <row r="46" spans="1:7" x14ac:dyDescent="0.25">
      <c r="A46" s="84"/>
      <c r="B46" s="84"/>
      <c r="C46" s="84"/>
      <c r="D46" s="84"/>
      <c r="E46" s="84"/>
      <c r="F46" s="84"/>
      <c r="G46" s="84"/>
    </row>
    <row r="47" spans="1:7" x14ac:dyDescent="0.25">
      <c r="A47" s="84"/>
      <c r="B47" s="84" t="s">
        <v>254</v>
      </c>
      <c r="C47" s="84"/>
      <c r="D47" s="84"/>
      <c r="E47" s="127">
        <v>40000000</v>
      </c>
      <c r="F47" s="84"/>
      <c r="G47" s="84"/>
    </row>
    <row r="48" spans="1:7" x14ac:dyDescent="0.25">
      <c r="A48" s="84"/>
      <c r="B48" s="84" t="s">
        <v>255</v>
      </c>
      <c r="C48" s="84"/>
      <c r="D48" s="84"/>
      <c r="E48" s="280">
        <v>0.12</v>
      </c>
      <c r="F48" s="84"/>
      <c r="G48" s="84"/>
    </row>
    <row r="49" spans="1:10" x14ac:dyDescent="0.25">
      <c r="A49" s="84"/>
      <c r="B49" s="84" t="s">
        <v>29</v>
      </c>
      <c r="C49" s="84"/>
      <c r="D49" s="84"/>
      <c r="E49" s="84">
        <v>25</v>
      </c>
      <c r="F49" s="84"/>
      <c r="G49" s="84"/>
    </row>
    <row r="50" spans="1:10" x14ac:dyDescent="0.25">
      <c r="A50" s="84"/>
      <c r="B50" s="84" t="s">
        <v>256</v>
      </c>
      <c r="C50" s="84"/>
      <c r="D50" s="84"/>
      <c r="E50" s="105">
        <f>-PMT(E48,E49,E47,0,0)</f>
        <v>5099998.7923803106</v>
      </c>
      <c r="F50" s="84" t="s">
        <v>259</v>
      </c>
      <c r="G50" s="84"/>
    </row>
    <row r="51" spans="1:10" s="4" customFormat="1" x14ac:dyDescent="0.25">
      <c r="A51" s="86"/>
      <c r="B51" s="86" t="s">
        <v>257</v>
      </c>
      <c r="C51" s="86"/>
      <c r="D51" s="86"/>
      <c r="E51" s="281">
        <f>+E50/12</f>
        <v>424999.89936502586</v>
      </c>
      <c r="F51" s="86"/>
      <c r="G51" s="86" t="s">
        <v>258</v>
      </c>
      <c r="I51"/>
      <c r="J51"/>
    </row>
    <row r="52" spans="1:10" x14ac:dyDescent="0.25">
      <c r="A52" s="84"/>
      <c r="B52" s="84"/>
      <c r="C52" s="84"/>
      <c r="D52" s="84"/>
      <c r="E52" s="105"/>
      <c r="F52" s="84"/>
      <c r="G52" s="84"/>
    </row>
    <row r="54" spans="1:10" x14ac:dyDescent="0.25">
      <c r="A54" s="4" t="s">
        <v>241</v>
      </c>
    </row>
    <row r="55" spans="1:10" x14ac:dyDescent="0.25">
      <c r="E55" s="100" t="s">
        <v>37</v>
      </c>
      <c r="F55" s="100" t="s">
        <v>38</v>
      </c>
    </row>
    <row r="56" spans="1:10" x14ac:dyDescent="0.25">
      <c r="B56" s="9" t="s">
        <v>40</v>
      </c>
      <c r="C56" s="9"/>
      <c r="D56" s="9"/>
      <c r="E56" s="279">
        <f>+F57</f>
        <v>40000000</v>
      </c>
      <c r="F56" s="9"/>
      <c r="G56" s="4" t="s">
        <v>262</v>
      </c>
    </row>
    <row r="57" spans="1:10" x14ac:dyDescent="0.25">
      <c r="B57" s="9" t="s">
        <v>36</v>
      </c>
      <c r="C57" s="9"/>
      <c r="D57" s="9"/>
      <c r="E57" s="9"/>
      <c r="F57" s="279">
        <f>+E47</f>
        <v>40000000</v>
      </c>
    </row>
    <row r="59" spans="1:10" x14ac:dyDescent="0.25">
      <c r="B59" t="s">
        <v>264</v>
      </c>
    </row>
    <row r="61" spans="1:10" x14ac:dyDescent="0.25">
      <c r="B61" s="282" t="s">
        <v>265</v>
      </c>
      <c r="C61" s="282" t="s">
        <v>267</v>
      </c>
      <c r="D61" s="282" t="s">
        <v>266</v>
      </c>
      <c r="E61" s="282" t="s">
        <v>268</v>
      </c>
    </row>
    <row r="62" spans="1:10" x14ac:dyDescent="0.25">
      <c r="A62">
        <v>1</v>
      </c>
      <c r="B62" s="127">
        <f>+E56</f>
        <v>40000000</v>
      </c>
      <c r="C62" s="127">
        <f>+B62*$E$48</f>
        <v>4800000</v>
      </c>
      <c r="D62" s="127">
        <f>-+E50</f>
        <v>-5099998.7923803106</v>
      </c>
      <c r="E62" s="127">
        <f>+B62+C62+D62</f>
        <v>39700001.207619689</v>
      </c>
    </row>
    <row r="63" spans="1:10" x14ac:dyDescent="0.25">
      <c r="A63">
        <f>+A62+1</f>
        <v>2</v>
      </c>
      <c r="B63" s="20">
        <f>+E62</f>
        <v>39700001.207619689</v>
      </c>
      <c r="C63" s="20">
        <f>+B63*$E$48</f>
        <v>4764000.1449143626</v>
      </c>
      <c r="D63" s="20">
        <f>+D62</f>
        <v>-5099998.7923803106</v>
      </c>
      <c r="E63" s="20">
        <f>+B63+C63+D63</f>
        <v>39364002.560153745</v>
      </c>
    </row>
    <row r="64" spans="1:10" x14ac:dyDescent="0.25">
      <c r="A64">
        <f t="shared" ref="A64:A86" si="0">+A63+1</f>
        <v>3</v>
      </c>
      <c r="B64" s="20">
        <f>+E63</f>
        <v>39364002.560153745</v>
      </c>
      <c r="C64" s="20">
        <f>+B64*$E$48</f>
        <v>4723680.3072184492</v>
      </c>
      <c r="D64" s="20">
        <f t="shared" ref="D64:D86" si="1">+D63</f>
        <v>-5099998.7923803106</v>
      </c>
      <c r="E64" s="20">
        <f>+B64+C64+D64</f>
        <v>38987684.074991882</v>
      </c>
    </row>
    <row r="65" spans="1:5" x14ac:dyDescent="0.25">
      <c r="A65">
        <f t="shared" si="0"/>
        <v>4</v>
      </c>
      <c r="B65" s="20">
        <f>+E64</f>
        <v>38987684.074991882</v>
      </c>
      <c r="C65" s="20">
        <f>+B65*$E$48</f>
        <v>4678522.0889990255</v>
      </c>
      <c r="D65" s="20">
        <f t="shared" si="1"/>
        <v>-5099998.7923803106</v>
      </c>
      <c r="E65" s="20">
        <f>+B65+C65+D65</f>
        <v>38566207.371610597</v>
      </c>
    </row>
    <row r="66" spans="1:5" x14ac:dyDescent="0.25">
      <c r="A66">
        <f t="shared" si="0"/>
        <v>5</v>
      </c>
      <c r="B66" s="20">
        <f t="shared" ref="B66:B86" si="2">+E65</f>
        <v>38566207.371610597</v>
      </c>
      <c r="C66" s="20">
        <f t="shared" ref="C66:C86" si="3">+B66*$E$48</f>
        <v>4627944.8845932717</v>
      </c>
      <c r="D66" s="20">
        <f t="shared" si="1"/>
        <v>-5099998.7923803106</v>
      </c>
      <c r="E66" s="20">
        <f t="shared" ref="E66:E86" si="4">+B66+C66+D66</f>
        <v>38094153.463823557</v>
      </c>
    </row>
    <row r="67" spans="1:5" x14ac:dyDescent="0.25">
      <c r="A67">
        <f t="shared" si="0"/>
        <v>6</v>
      </c>
      <c r="B67" s="20">
        <f t="shared" si="2"/>
        <v>38094153.463823557</v>
      </c>
      <c r="C67" s="20">
        <f t="shared" si="3"/>
        <v>4571298.4156588269</v>
      </c>
      <c r="D67" s="20">
        <f t="shared" si="1"/>
        <v>-5099998.7923803106</v>
      </c>
      <c r="E67" s="20">
        <f t="shared" si="4"/>
        <v>37565453.08710207</v>
      </c>
    </row>
    <row r="68" spans="1:5" x14ac:dyDescent="0.25">
      <c r="A68">
        <f t="shared" si="0"/>
        <v>7</v>
      </c>
      <c r="B68" s="20">
        <f t="shared" si="2"/>
        <v>37565453.08710207</v>
      </c>
      <c r="C68" s="20">
        <f t="shared" si="3"/>
        <v>4507854.3704522485</v>
      </c>
      <c r="D68" s="20">
        <f t="shared" si="1"/>
        <v>-5099998.7923803106</v>
      </c>
      <c r="E68" s="20">
        <f t="shared" si="4"/>
        <v>36973308.665174007</v>
      </c>
    </row>
    <row r="69" spans="1:5" x14ac:dyDescent="0.25">
      <c r="A69">
        <f t="shared" si="0"/>
        <v>8</v>
      </c>
      <c r="B69" s="20">
        <f t="shared" si="2"/>
        <v>36973308.665174007</v>
      </c>
      <c r="C69" s="20">
        <f t="shared" si="3"/>
        <v>4436797.0398208806</v>
      </c>
      <c r="D69" s="20">
        <f t="shared" si="1"/>
        <v>-5099998.7923803106</v>
      </c>
      <c r="E69" s="20">
        <f t="shared" si="4"/>
        <v>36310106.912614577</v>
      </c>
    </row>
    <row r="70" spans="1:5" x14ac:dyDescent="0.25">
      <c r="A70">
        <f t="shared" si="0"/>
        <v>9</v>
      </c>
      <c r="B70" s="20">
        <f t="shared" si="2"/>
        <v>36310106.912614577</v>
      </c>
      <c r="C70" s="20">
        <f t="shared" si="3"/>
        <v>4357212.8295137491</v>
      </c>
      <c r="D70" s="20">
        <f t="shared" si="1"/>
        <v>-5099998.7923803106</v>
      </c>
      <c r="E70" s="20">
        <f t="shared" si="4"/>
        <v>35567320.949748017</v>
      </c>
    </row>
    <row r="71" spans="1:5" x14ac:dyDescent="0.25">
      <c r="A71">
        <f t="shared" si="0"/>
        <v>10</v>
      </c>
      <c r="B71" s="20">
        <f t="shared" si="2"/>
        <v>35567320.949748017</v>
      </c>
      <c r="C71" s="20">
        <f t="shared" si="3"/>
        <v>4268078.5139697623</v>
      </c>
      <c r="D71" s="20">
        <f t="shared" si="1"/>
        <v>-5099998.7923803106</v>
      </c>
      <c r="E71" s="20">
        <f t="shared" si="4"/>
        <v>34735400.67133747</v>
      </c>
    </row>
    <row r="72" spans="1:5" x14ac:dyDescent="0.25">
      <c r="A72">
        <f t="shared" si="0"/>
        <v>11</v>
      </c>
      <c r="B72" s="20">
        <f t="shared" si="2"/>
        <v>34735400.67133747</v>
      </c>
      <c r="C72" s="20">
        <f t="shared" si="3"/>
        <v>4168248.0805604961</v>
      </c>
      <c r="D72" s="20">
        <f t="shared" si="1"/>
        <v>-5099998.7923803106</v>
      </c>
      <c r="E72" s="20">
        <f t="shared" si="4"/>
        <v>33803649.959517658</v>
      </c>
    </row>
    <row r="73" spans="1:5" x14ac:dyDescent="0.25">
      <c r="A73">
        <f t="shared" si="0"/>
        <v>12</v>
      </c>
      <c r="B73" s="20">
        <f t="shared" si="2"/>
        <v>33803649.959517658</v>
      </c>
      <c r="C73" s="20">
        <f t="shared" si="3"/>
        <v>4056437.995142119</v>
      </c>
      <c r="D73" s="20">
        <f t="shared" si="1"/>
        <v>-5099998.7923803106</v>
      </c>
      <c r="E73" s="20">
        <f t="shared" si="4"/>
        <v>32760089.162279464</v>
      </c>
    </row>
    <row r="74" spans="1:5" x14ac:dyDescent="0.25">
      <c r="A74">
        <f t="shared" si="0"/>
        <v>13</v>
      </c>
      <c r="B74" s="20">
        <f t="shared" si="2"/>
        <v>32760089.162279464</v>
      </c>
      <c r="C74" s="20">
        <f t="shared" si="3"/>
        <v>3931210.6994735356</v>
      </c>
      <c r="D74" s="20">
        <f t="shared" si="1"/>
        <v>-5099998.7923803106</v>
      </c>
      <c r="E74" s="20">
        <f t="shared" si="4"/>
        <v>31591301.069372691</v>
      </c>
    </row>
    <row r="75" spans="1:5" x14ac:dyDescent="0.25">
      <c r="A75">
        <f t="shared" si="0"/>
        <v>14</v>
      </c>
      <c r="B75" s="20">
        <f t="shared" si="2"/>
        <v>31591301.069372691</v>
      </c>
      <c r="C75" s="20">
        <f t="shared" si="3"/>
        <v>3790956.1283247229</v>
      </c>
      <c r="D75" s="20">
        <f t="shared" si="1"/>
        <v>-5099998.7923803106</v>
      </c>
      <c r="E75" s="20">
        <f t="shared" si="4"/>
        <v>30282258.405317105</v>
      </c>
    </row>
    <row r="76" spans="1:5" x14ac:dyDescent="0.25">
      <c r="A76">
        <f t="shared" si="0"/>
        <v>15</v>
      </c>
      <c r="B76" s="20">
        <f t="shared" si="2"/>
        <v>30282258.405317105</v>
      </c>
      <c r="C76" s="20">
        <f t="shared" si="3"/>
        <v>3633871.0086380527</v>
      </c>
      <c r="D76" s="20">
        <f t="shared" si="1"/>
        <v>-5099998.7923803106</v>
      </c>
      <c r="E76" s="20">
        <f t="shared" si="4"/>
        <v>28816130.621574849</v>
      </c>
    </row>
    <row r="77" spans="1:5" x14ac:dyDescent="0.25">
      <c r="A77">
        <f t="shared" si="0"/>
        <v>16</v>
      </c>
      <c r="B77" s="20">
        <f t="shared" si="2"/>
        <v>28816130.621574849</v>
      </c>
      <c r="C77" s="20">
        <f t="shared" si="3"/>
        <v>3457935.6745889816</v>
      </c>
      <c r="D77" s="20">
        <f t="shared" si="1"/>
        <v>-5099998.7923803106</v>
      </c>
      <c r="E77" s="20">
        <f t="shared" si="4"/>
        <v>27174067.50378352</v>
      </c>
    </row>
    <row r="78" spans="1:5" x14ac:dyDescent="0.25">
      <c r="A78">
        <f t="shared" si="0"/>
        <v>17</v>
      </c>
      <c r="B78" s="20">
        <f t="shared" si="2"/>
        <v>27174067.50378352</v>
      </c>
      <c r="C78" s="20">
        <f t="shared" si="3"/>
        <v>3260888.1004540222</v>
      </c>
      <c r="D78" s="20">
        <f t="shared" si="1"/>
        <v>-5099998.7923803106</v>
      </c>
      <c r="E78" s="20">
        <f t="shared" si="4"/>
        <v>25334956.811857231</v>
      </c>
    </row>
    <row r="79" spans="1:5" x14ac:dyDescent="0.25">
      <c r="A79">
        <f t="shared" si="0"/>
        <v>18</v>
      </c>
      <c r="B79" s="20">
        <f t="shared" si="2"/>
        <v>25334956.811857231</v>
      </c>
      <c r="C79" s="20">
        <f t="shared" si="3"/>
        <v>3040194.8174228678</v>
      </c>
      <c r="D79" s="20">
        <f t="shared" si="1"/>
        <v>-5099998.7923803106</v>
      </c>
      <c r="E79" s="20">
        <f t="shared" si="4"/>
        <v>23275152.836899787</v>
      </c>
    </row>
    <row r="80" spans="1:5" x14ac:dyDescent="0.25">
      <c r="A80">
        <f t="shared" si="0"/>
        <v>19</v>
      </c>
      <c r="B80" s="20">
        <f t="shared" si="2"/>
        <v>23275152.836899787</v>
      </c>
      <c r="C80" s="20">
        <f t="shared" si="3"/>
        <v>2793018.3404279742</v>
      </c>
      <c r="D80" s="20">
        <f t="shared" si="1"/>
        <v>-5099998.7923803106</v>
      </c>
      <c r="E80" s="20">
        <f t="shared" si="4"/>
        <v>20968172.384947449</v>
      </c>
    </row>
    <row r="81" spans="1:6" x14ac:dyDescent="0.25">
      <c r="A81">
        <f t="shared" si="0"/>
        <v>20</v>
      </c>
      <c r="B81" s="20">
        <f t="shared" si="2"/>
        <v>20968172.384947449</v>
      </c>
      <c r="C81" s="20">
        <f t="shared" si="3"/>
        <v>2516180.6861936939</v>
      </c>
      <c r="D81" s="20">
        <f t="shared" si="1"/>
        <v>-5099998.7923803106</v>
      </c>
      <c r="E81" s="20">
        <f t="shared" si="4"/>
        <v>18384354.278760832</v>
      </c>
    </row>
    <row r="82" spans="1:6" x14ac:dyDescent="0.25">
      <c r="A82">
        <f t="shared" si="0"/>
        <v>21</v>
      </c>
      <c r="B82" s="20">
        <f t="shared" si="2"/>
        <v>18384354.278760832</v>
      </c>
      <c r="C82" s="20">
        <f t="shared" si="3"/>
        <v>2206122.5134512996</v>
      </c>
      <c r="D82" s="20">
        <f t="shared" si="1"/>
        <v>-5099998.7923803106</v>
      </c>
      <c r="E82" s="20">
        <f t="shared" si="4"/>
        <v>15490477.999831822</v>
      </c>
    </row>
    <row r="83" spans="1:6" x14ac:dyDescent="0.25">
      <c r="A83">
        <f t="shared" si="0"/>
        <v>22</v>
      </c>
      <c r="B83" s="20">
        <f t="shared" si="2"/>
        <v>15490477.999831822</v>
      </c>
      <c r="C83" s="20">
        <f t="shared" si="3"/>
        <v>1858857.3599798186</v>
      </c>
      <c r="D83" s="20">
        <f t="shared" si="1"/>
        <v>-5099998.7923803106</v>
      </c>
      <c r="E83" s="20">
        <f t="shared" si="4"/>
        <v>12249336.567431331</v>
      </c>
    </row>
    <row r="84" spans="1:6" x14ac:dyDescent="0.25">
      <c r="A84">
        <f t="shared" si="0"/>
        <v>23</v>
      </c>
      <c r="B84" s="20">
        <f t="shared" si="2"/>
        <v>12249336.567431331</v>
      </c>
      <c r="C84" s="20">
        <f t="shared" si="3"/>
        <v>1469920.3880917595</v>
      </c>
      <c r="D84" s="20">
        <f t="shared" si="1"/>
        <v>-5099998.7923803106</v>
      </c>
      <c r="E84" s="20">
        <f t="shared" si="4"/>
        <v>8619258.1631427798</v>
      </c>
    </row>
    <row r="85" spans="1:6" x14ac:dyDescent="0.25">
      <c r="A85">
        <f t="shared" si="0"/>
        <v>24</v>
      </c>
      <c r="B85" s="20">
        <f t="shared" si="2"/>
        <v>8619258.1631427798</v>
      </c>
      <c r="C85" s="20">
        <f t="shared" si="3"/>
        <v>1034310.9795771335</v>
      </c>
      <c r="D85" s="20">
        <f t="shared" si="1"/>
        <v>-5099998.7923803106</v>
      </c>
      <c r="E85" s="20">
        <f t="shared" si="4"/>
        <v>4553570.3503396027</v>
      </c>
    </row>
    <row r="86" spans="1:6" x14ac:dyDescent="0.25">
      <c r="A86">
        <f t="shared" si="0"/>
        <v>25</v>
      </c>
      <c r="B86" s="20">
        <f t="shared" si="2"/>
        <v>4553570.3503396027</v>
      </c>
      <c r="C86" s="20">
        <f t="shared" si="3"/>
        <v>546428.44204075227</v>
      </c>
      <c r="D86" s="20">
        <f t="shared" si="1"/>
        <v>-5099998.7923803106</v>
      </c>
      <c r="E86" s="127">
        <f t="shared" si="4"/>
        <v>4.4703483581542969E-8</v>
      </c>
    </row>
    <row r="88" spans="1:6" x14ac:dyDescent="0.25">
      <c r="A88" s="4" t="s">
        <v>269</v>
      </c>
    </row>
    <row r="89" spans="1:6" x14ac:dyDescent="0.25">
      <c r="B89" t="s">
        <v>245</v>
      </c>
      <c r="F89" s="20">
        <v>1600000</v>
      </c>
    </row>
    <row r="90" spans="1:6" x14ac:dyDescent="0.25">
      <c r="B90" s="269" t="s">
        <v>246</v>
      </c>
    </row>
    <row r="91" spans="1:6" x14ac:dyDescent="0.25">
      <c r="B91" t="s">
        <v>247</v>
      </c>
      <c r="F91" s="20">
        <f>+C62</f>
        <v>4800000</v>
      </c>
    </row>
    <row r="93" spans="1:6" x14ac:dyDescent="0.25">
      <c r="E93" s="100" t="s">
        <v>37</v>
      </c>
      <c r="F93" s="100" t="s">
        <v>38</v>
      </c>
    </row>
    <row r="94" spans="1:6" x14ac:dyDescent="0.25">
      <c r="B94" s="9" t="s">
        <v>40</v>
      </c>
      <c r="C94" s="9"/>
      <c r="D94" s="9"/>
      <c r="E94" s="279">
        <f>+F91</f>
        <v>4800000</v>
      </c>
      <c r="F94" s="9"/>
    </row>
    <row r="95" spans="1:6" x14ac:dyDescent="0.25">
      <c r="B95" s="9" t="s">
        <v>270</v>
      </c>
      <c r="C95" s="9"/>
      <c r="D95" s="9"/>
      <c r="E95" s="9"/>
      <c r="F95" s="279">
        <f>+E94</f>
        <v>4800000</v>
      </c>
    </row>
    <row r="97" spans="1:9" x14ac:dyDescent="0.25">
      <c r="E97" s="100" t="s">
        <v>37</v>
      </c>
      <c r="F97" s="100" t="s">
        <v>38</v>
      </c>
    </row>
    <row r="98" spans="1:9" x14ac:dyDescent="0.25">
      <c r="B98" s="9" t="s">
        <v>245</v>
      </c>
      <c r="C98" s="9"/>
      <c r="D98" s="9"/>
      <c r="E98" s="279">
        <f>+F89</f>
        <v>1600000</v>
      </c>
      <c r="F98" s="9"/>
    </row>
    <row r="99" spans="1:9" x14ac:dyDescent="0.25">
      <c r="B99" s="9" t="s">
        <v>36</v>
      </c>
      <c r="C99" s="9"/>
      <c r="D99" s="9"/>
      <c r="E99" s="9"/>
      <c r="F99" s="279">
        <f>+E98</f>
        <v>1600000</v>
      </c>
    </row>
    <row r="101" spans="1:9" x14ac:dyDescent="0.25">
      <c r="E101" s="100" t="s">
        <v>37</v>
      </c>
      <c r="F101" s="100" t="s">
        <v>38</v>
      </c>
    </row>
    <row r="102" spans="1:9" x14ac:dyDescent="0.25">
      <c r="B102" s="9" t="s">
        <v>36</v>
      </c>
      <c r="C102" s="9"/>
      <c r="D102" s="9"/>
      <c r="E102" s="279">
        <f>-D62</f>
        <v>5099998.7923803106</v>
      </c>
      <c r="F102" s="9"/>
    </row>
    <row r="103" spans="1:9" x14ac:dyDescent="0.25">
      <c r="B103" s="9" t="s">
        <v>40</v>
      </c>
      <c r="C103" s="9"/>
      <c r="D103" s="9"/>
      <c r="E103" s="9"/>
      <c r="F103" s="279">
        <f>+E102</f>
        <v>5099998.7923803106</v>
      </c>
    </row>
    <row r="105" spans="1:9" x14ac:dyDescent="0.25">
      <c r="A105" s="268" t="s">
        <v>273</v>
      </c>
      <c r="B105" s="268"/>
      <c r="C105" s="268"/>
      <c r="D105" s="268"/>
      <c r="E105" s="268"/>
      <c r="F105" s="268"/>
      <c r="G105" s="284" t="s">
        <v>274</v>
      </c>
    </row>
    <row r="106" spans="1:9" x14ac:dyDescent="0.25">
      <c r="A106" s="84" t="s">
        <v>206</v>
      </c>
      <c r="B106" s="84"/>
      <c r="C106" s="84"/>
      <c r="D106" s="84"/>
      <c r="E106" s="84"/>
      <c r="F106" s="84"/>
      <c r="G106" s="84"/>
    </row>
    <row r="107" spans="1:9" x14ac:dyDescent="0.25">
      <c r="A107" s="84" t="s">
        <v>208</v>
      </c>
      <c r="B107" s="84"/>
      <c r="C107" s="84"/>
      <c r="D107" s="84"/>
      <c r="E107" s="84"/>
      <c r="F107" s="84"/>
      <c r="G107" s="84"/>
    </row>
    <row r="108" spans="1:9" x14ac:dyDescent="0.25">
      <c r="A108" s="84" t="s">
        <v>207</v>
      </c>
      <c r="B108" s="84"/>
      <c r="C108" s="84"/>
      <c r="D108" s="84"/>
      <c r="E108" s="84"/>
      <c r="F108" s="84"/>
      <c r="G108" s="84"/>
    </row>
    <row r="109" spans="1:9" x14ac:dyDescent="0.25">
      <c r="A109" s="84"/>
      <c r="B109" s="84" t="s">
        <v>210</v>
      </c>
      <c r="C109" s="84"/>
      <c r="D109" s="84"/>
      <c r="E109" s="84"/>
      <c r="F109" s="84"/>
      <c r="G109" s="84"/>
    </row>
    <row r="110" spans="1:9" x14ac:dyDescent="0.25">
      <c r="A110" s="84"/>
      <c r="B110" s="84" t="s">
        <v>209</v>
      </c>
      <c r="C110" s="84"/>
      <c r="D110" s="84"/>
      <c r="E110" s="84"/>
      <c r="F110" s="84"/>
      <c r="G110" s="84"/>
    </row>
    <row r="111" spans="1:9" x14ac:dyDescent="0.25">
      <c r="A111" s="84"/>
      <c r="B111" s="84" t="s">
        <v>237</v>
      </c>
      <c r="C111" s="84"/>
      <c r="D111" s="84"/>
      <c r="E111" s="84"/>
      <c r="F111" s="84"/>
      <c r="G111" s="84"/>
    </row>
    <row r="112" spans="1:9" x14ac:dyDescent="0.25">
      <c r="A112" s="84"/>
      <c r="B112" s="124" t="s">
        <v>238</v>
      </c>
      <c r="C112" s="124"/>
      <c r="D112" s="124"/>
      <c r="E112" s="124"/>
      <c r="F112" s="124"/>
      <c r="G112" s="124"/>
      <c r="H112" t="s">
        <v>277</v>
      </c>
      <c r="I112" t="s">
        <v>278</v>
      </c>
    </row>
    <row r="113" spans="1:9" x14ac:dyDescent="0.25">
      <c r="A113" s="84"/>
      <c r="B113" s="124" t="s">
        <v>275</v>
      </c>
      <c r="C113" s="124"/>
      <c r="D113" s="124"/>
      <c r="E113" s="124"/>
      <c r="F113" s="124"/>
      <c r="G113" s="124"/>
      <c r="H113" t="s">
        <v>276</v>
      </c>
      <c r="I113" t="s">
        <v>279</v>
      </c>
    </row>
    <row r="114" spans="1:9" x14ac:dyDescent="0.25">
      <c r="A114" s="84"/>
      <c r="B114" s="84" t="s">
        <v>211</v>
      </c>
      <c r="C114" s="84"/>
      <c r="D114" s="84"/>
      <c r="E114" s="84"/>
      <c r="F114" s="84"/>
      <c r="G114" s="84"/>
    </row>
    <row r="115" spans="1:9" x14ac:dyDescent="0.25">
      <c r="A115" s="84"/>
      <c r="B115" s="84" t="s">
        <v>239</v>
      </c>
      <c r="C115" s="84"/>
      <c r="D115" s="84"/>
      <c r="E115" s="84"/>
      <c r="F115" s="84"/>
      <c r="G115" s="84"/>
    </row>
    <row r="116" spans="1:9" x14ac:dyDescent="0.25">
      <c r="A116" s="84"/>
      <c r="B116" s="84" t="s">
        <v>240</v>
      </c>
      <c r="C116" s="84"/>
      <c r="D116" s="84"/>
      <c r="E116" s="84"/>
      <c r="F116" s="84"/>
      <c r="G116" s="84"/>
    </row>
    <row r="118" spans="1:9" x14ac:dyDescent="0.25">
      <c r="A118" s="4" t="s">
        <v>241</v>
      </c>
    </row>
    <row r="119" spans="1:9" x14ac:dyDescent="0.25">
      <c r="E119" s="100" t="s">
        <v>37</v>
      </c>
      <c r="F119" s="100" t="s">
        <v>38</v>
      </c>
    </row>
    <row r="120" spans="1:9" x14ac:dyDescent="0.25">
      <c r="B120" s="9" t="s">
        <v>242</v>
      </c>
      <c r="C120" s="9"/>
      <c r="D120" s="9"/>
      <c r="E120" s="279">
        <f>+F122-E121</f>
        <v>31293426.154360995</v>
      </c>
      <c r="F120" s="9"/>
    </row>
    <row r="121" spans="1:9" x14ac:dyDescent="0.25">
      <c r="B121" s="9" t="s">
        <v>40</v>
      </c>
      <c r="C121" s="9"/>
      <c r="D121" s="9"/>
      <c r="E121" s="279">
        <f>+C127</f>
        <v>8706573.8456390053</v>
      </c>
      <c r="F121" s="9"/>
    </row>
    <row r="122" spans="1:9" x14ac:dyDescent="0.25">
      <c r="B122" s="9" t="s">
        <v>36</v>
      </c>
      <c r="C122" s="9"/>
      <c r="D122" s="9"/>
      <c r="E122" s="9"/>
      <c r="F122" s="279">
        <v>40000000</v>
      </c>
    </row>
    <row r="124" spans="1:9" x14ac:dyDescent="0.25">
      <c r="B124" s="9" t="s">
        <v>41</v>
      </c>
      <c r="C124" s="20">
        <v>500000</v>
      </c>
    </row>
    <row r="125" spans="1:9" x14ac:dyDescent="0.25">
      <c r="B125" s="9" t="s">
        <v>29</v>
      </c>
      <c r="C125">
        <v>25</v>
      </c>
    </row>
    <row r="126" spans="1:9" x14ac:dyDescent="0.25">
      <c r="B126" s="9" t="s">
        <v>42</v>
      </c>
      <c r="C126" s="283">
        <v>0.03</v>
      </c>
      <c r="D126" t="s">
        <v>280</v>
      </c>
    </row>
    <row r="127" spans="1:9" x14ac:dyDescent="0.25">
      <c r="B127" s="9" t="s">
        <v>43</v>
      </c>
      <c r="C127" s="20">
        <f>PV(C126,C125,-C124,0,0)</f>
        <v>8706573.8456390053</v>
      </c>
    </row>
    <row r="129" spans="1:5" x14ac:dyDescent="0.25">
      <c r="B129" s="9" t="s">
        <v>281</v>
      </c>
    </row>
    <row r="130" spans="1:5" x14ac:dyDescent="0.25">
      <c r="C130" t="s">
        <v>282</v>
      </c>
      <c r="D130" t="s">
        <v>283</v>
      </c>
    </row>
    <row r="131" spans="1:5" x14ac:dyDescent="0.25">
      <c r="C131" t="s">
        <v>284</v>
      </c>
      <c r="D131" t="s">
        <v>285</v>
      </c>
    </row>
    <row r="133" spans="1:5" x14ac:dyDescent="0.25">
      <c r="B133" s="282" t="s">
        <v>265</v>
      </c>
      <c r="C133" s="282" t="s">
        <v>267</v>
      </c>
      <c r="D133" s="282" t="s">
        <v>266</v>
      </c>
      <c r="E133" s="282" t="s">
        <v>268</v>
      </c>
    </row>
    <row r="134" spans="1:5" x14ac:dyDescent="0.25">
      <c r="A134">
        <v>1</v>
      </c>
      <c r="B134" s="127">
        <f>+E121</f>
        <v>8706573.8456390053</v>
      </c>
      <c r="C134" s="127">
        <f>+B134*$C$126</f>
        <v>261197.21536917015</v>
      </c>
      <c r="D134" s="127">
        <f>-C124</f>
        <v>-500000</v>
      </c>
      <c r="E134" s="127">
        <f>+B134+C134+D134</f>
        <v>8467771.0610081758</v>
      </c>
    </row>
    <row r="135" spans="1:5" x14ac:dyDescent="0.25">
      <c r="A135">
        <f>+A134+1</f>
        <v>2</v>
      </c>
      <c r="B135" s="20">
        <f>+E134</f>
        <v>8467771.0610081758</v>
      </c>
      <c r="C135" s="127">
        <f>+B135*$C$126</f>
        <v>254033.13183024526</v>
      </c>
      <c r="D135" s="20">
        <f>+D134</f>
        <v>-500000</v>
      </c>
      <c r="E135" s="20">
        <f>+B135+C135+D135</f>
        <v>8221804.1928384211</v>
      </c>
    </row>
    <row r="136" spans="1:5" x14ac:dyDescent="0.25">
      <c r="A136">
        <f t="shared" ref="A136:A158" si="5">+A135+1</f>
        <v>3</v>
      </c>
      <c r="B136" s="20">
        <f>+E135</f>
        <v>8221804.1928384211</v>
      </c>
      <c r="C136" s="127">
        <f t="shared" ref="C136:C158" si="6">+B136*$C$126</f>
        <v>246654.12578515263</v>
      </c>
      <c r="D136" s="20">
        <f t="shared" ref="D136:D158" si="7">+D135</f>
        <v>-500000</v>
      </c>
      <c r="E136" s="20">
        <f>+B136+C136+D136</f>
        <v>7968458.3186235745</v>
      </c>
    </row>
    <row r="137" spans="1:5" x14ac:dyDescent="0.25">
      <c r="A137">
        <f t="shared" si="5"/>
        <v>4</v>
      </c>
      <c r="B137" s="20">
        <f>+E136</f>
        <v>7968458.3186235745</v>
      </c>
      <c r="C137" s="127">
        <f t="shared" si="6"/>
        <v>239053.74955870723</v>
      </c>
      <c r="D137" s="20">
        <f t="shared" si="7"/>
        <v>-500000</v>
      </c>
      <c r="E137" s="20">
        <f>+B137+C137+D137</f>
        <v>7707512.0681822821</v>
      </c>
    </row>
    <row r="138" spans="1:5" x14ac:dyDescent="0.25">
      <c r="A138">
        <f t="shared" si="5"/>
        <v>5</v>
      </c>
      <c r="B138" s="20">
        <f t="shared" ref="B138:B158" si="8">+E137</f>
        <v>7707512.0681822821</v>
      </c>
      <c r="C138" s="127">
        <f t="shared" si="6"/>
        <v>231225.36204546844</v>
      </c>
      <c r="D138" s="20">
        <f t="shared" si="7"/>
        <v>-500000</v>
      </c>
      <c r="E138" s="20">
        <f t="shared" ref="E138:E158" si="9">+B138+C138+D138</f>
        <v>7438737.4302277509</v>
      </c>
    </row>
    <row r="139" spans="1:5" x14ac:dyDescent="0.25">
      <c r="A139">
        <f t="shared" si="5"/>
        <v>6</v>
      </c>
      <c r="B139" s="20">
        <f t="shared" si="8"/>
        <v>7438737.4302277509</v>
      </c>
      <c r="C139" s="127">
        <f t="shared" si="6"/>
        <v>223162.12290683252</v>
      </c>
      <c r="D139" s="20">
        <f t="shared" si="7"/>
        <v>-500000</v>
      </c>
      <c r="E139" s="20">
        <f t="shared" si="9"/>
        <v>7161899.5531345839</v>
      </c>
    </row>
    <row r="140" spans="1:5" x14ac:dyDescent="0.25">
      <c r="A140">
        <f t="shared" si="5"/>
        <v>7</v>
      </c>
      <c r="B140" s="20">
        <f t="shared" si="8"/>
        <v>7161899.5531345839</v>
      </c>
      <c r="C140" s="127">
        <f t="shared" si="6"/>
        <v>214856.9865940375</v>
      </c>
      <c r="D140" s="20">
        <f t="shared" si="7"/>
        <v>-500000</v>
      </c>
      <c r="E140" s="20">
        <f t="shared" si="9"/>
        <v>6876756.539728621</v>
      </c>
    </row>
    <row r="141" spans="1:5" x14ac:dyDescent="0.25">
      <c r="A141">
        <f t="shared" si="5"/>
        <v>8</v>
      </c>
      <c r="B141" s="20">
        <f t="shared" si="8"/>
        <v>6876756.539728621</v>
      </c>
      <c r="C141" s="127">
        <f t="shared" si="6"/>
        <v>206302.69619185862</v>
      </c>
      <c r="D141" s="20">
        <f t="shared" si="7"/>
        <v>-500000</v>
      </c>
      <c r="E141" s="20">
        <f t="shared" si="9"/>
        <v>6583059.2359204795</v>
      </c>
    </row>
    <row r="142" spans="1:5" x14ac:dyDescent="0.25">
      <c r="A142">
        <f t="shared" si="5"/>
        <v>9</v>
      </c>
      <c r="B142" s="20">
        <f t="shared" si="8"/>
        <v>6583059.2359204795</v>
      </c>
      <c r="C142" s="127">
        <f t="shared" si="6"/>
        <v>197491.77707761439</v>
      </c>
      <c r="D142" s="20">
        <f t="shared" si="7"/>
        <v>-500000</v>
      </c>
      <c r="E142" s="20">
        <f t="shared" si="9"/>
        <v>6280551.0129980939</v>
      </c>
    </row>
    <row r="143" spans="1:5" x14ac:dyDescent="0.25">
      <c r="A143">
        <f t="shared" si="5"/>
        <v>10</v>
      </c>
      <c r="B143" s="20">
        <f t="shared" si="8"/>
        <v>6280551.0129980939</v>
      </c>
      <c r="C143" s="127">
        <f t="shared" si="6"/>
        <v>188416.53038994281</v>
      </c>
      <c r="D143" s="20">
        <f t="shared" si="7"/>
        <v>-500000</v>
      </c>
      <c r="E143" s="20">
        <f t="shared" si="9"/>
        <v>5968967.543388037</v>
      </c>
    </row>
    <row r="144" spans="1:5" x14ac:dyDescent="0.25">
      <c r="A144">
        <f t="shared" si="5"/>
        <v>11</v>
      </c>
      <c r="B144" s="20">
        <f t="shared" si="8"/>
        <v>5968967.543388037</v>
      </c>
      <c r="C144" s="127">
        <f t="shared" si="6"/>
        <v>179069.0263016411</v>
      </c>
      <c r="D144" s="20">
        <f t="shared" si="7"/>
        <v>-500000</v>
      </c>
      <c r="E144" s="20">
        <f t="shared" si="9"/>
        <v>5648036.569689678</v>
      </c>
    </row>
    <row r="145" spans="1:5" x14ac:dyDescent="0.25">
      <c r="A145">
        <f t="shared" si="5"/>
        <v>12</v>
      </c>
      <c r="B145" s="20">
        <f t="shared" si="8"/>
        <v>5648036.569689678</v>
      </c>
      <c r="C145" s="127">
        <f t="shared" si="6"/>
        <v>169441.09709069034</v>
      </c>
      <c r="D145" s="20">
        <f t="shared" si="7"/>
        <v>-500000</v>
      </c>
      <c r="E145" s="20">
        <f t="shared" si="9"/>
        <v>5317477.6667803684</v>
      </c>
    </row>
    <row r="146" spans="1:5" x14ac:dyDescent="0.25">
      <c r="A146">
        <f t="shared" si="5"/>
        <v>13</v>
      </c>
      <c r="B146" s="20">
        <f t="shared" si="8"/>
        <v>5317477.6667803684</v>
      </c>
      <c r="C146" s="127">
        <f t="shared" si="6"/>
        <v>159524.33000341104</v>
      </c>
      <c r="D146" s="20">
        <f t="shared" si="7"/>
        <v>-500000</v>
      </c>
      <c r="E146" s="20">
        <f t="shared" si="9"/>
        <v>4977001.9967837799</v>
      </c>
    </row>
    <row r="147" spans="1:5" x14ac:dyDescent="0.25">
      <c r="A147">
        <f t="shared" si="5"/>
        <v>14</v>
      </c>
      <c r="B147" s="20">
        <f t="shared" si="8"/>
        <v>4977001.9967837799</v>
      </c>
      <c r="C147" s="127">
        <f t="shared" si="6"/>
        <v>149310.05990351338</v>
      </c>
      <c r="D147" s="20">
        <f t="shared" si="7"/>
        <v>-500000</v>
      </c>
      <c r="E147" s="20">
        <f t="shared" si="9"/>
        <v>4626312.0566872936</v>
      </c>
    </row>
    <row r="148" spans="1:5" x14ac:dyDescent="0.25">
      <c r="A148">
        <f t="shared" si="5"/>
        <v>15</v>
      </c>
      <c r="B148" s="20">
        <f t="shared" si="8"/>
        <v>4626312.0566872936</v>
      </c>
      <c r="C148" s="127">
        <f t="shared" si="6"/>
        <v>138789.36170061881</v>
      </c>
      <c r="D148" s="20">
        <f t="shared" si="7"/>
        <v>-500000</v>
      </c>
      <c r="E148" s="20">
        <f t="shared" si="9"/>
        <v>4265101.4183879122</v>
      </c>
    </row>
    <row r="149" spans="1:5" x14ac:dyDescent="0.25">
      <c r="A149">
        <f t="shared" si="5"/>
        <v>16</v>
      </c>
      <c r="B149" s="20">
        <f t="shared" si="8"/>
        <v>4265101.4183879122</v>
      </c>
      <c r="C149" s="127">
        <f t="shared" si="6"/>
        <v>127953.04255163737</v>
      </c>
      <c r="D149" s="20">
        <f t="shared" si="7"/>
        <v>-500000</v>
      </c>
      <c r="E149" s="20">
        <f t="shared" si="9"/>
        <v>3893054.4609395498</v>
      </c>
    </row>
    <row r="150" spans="1:5" x14ac:dyDescent="0.25">
      <c r="A150">
        <f t="shared" si="5"/>
        <v>17</v>
      </c>
      <c r="B150" s="20">
        <f t="shared" si="8"/>
        <v>3893054.4609395498</v>
      </c>
      <c r="C150" s="127">
        <f t="shared" si="6"/>
        <v>116791.63382818649</v>
      </c>
      <c r="D150" s="20">
        <f t="shared" si="7"/>
        <v>-500000</v>
      </c>
      <c r="E150" s="20">
        <f t="shared" si="9"/>
        <v>3509846.0947677363</v>
      </c>
    </row>
    <row r="151" spans="1:5" x14ac:dyDescent="0.25">
      <c r="A151">
        <f t="shared" si="5"/>
        <v>18</v>
      </c>
      <c r="B151" s="20">
        <f t="shared" si="8"/>
        <v>3509846.0947677363</v>
      </c>
      <c r="C151" s="127">
        <f t="shared" si="6"/>
        <v>105295.38284303209</v>
      </c>
      <c r="D151" s="20">
        <f t="shared" si="7"/>
        <v>-500000</v>
      </c>
      <c r="E151" s="20">
        <f t="shared" si="9"/>
        <v>3115141.4776107683</v>
      </c>
    </row>
    <row r="152" spans="1:5" x14ac:dyDescent="0.25">
      <c r="A152">
        <f t="shared" si="5"/>
        <v>19</v>
      </c>
      <c r="B152" s="20">
        <f t="shared" si="8"/>
        <v>3115141.4776107683</v>
      </c>
      <c r="C152" s="127">
        <f t="shared" si="6"/>
        <v>93454.244328323039</v>
      </c>
      <c r="D152" s="20">
        <f t="shared" si="7"/>
        <v>-500000</v>
      </c>
      <c r="E152" s="20">
        <f t="shared" si="9"/>
        <v>2708595.7219390911</v>
      </c>
    </row>
    <row r="153" spans="1:5" x14ac:dyDescent="0.25">
      <c r="A153">
        <f t="shared" si="5"/>
        <v>20</v>
      </c>
      <c r="B153" s="20">
        <f t="shared" si="8"/>
        <v>2708595.7219390911</v>
      </c>
      <c r="C153" s="127">
        <f t="shared" si="6"/>
        <v>81257.871658172735</v>
      </c>
      <c r="D153" s="20">
        <f t="shared" si="7"/>
        <v>-500000</v>
      </c>
      <c r="E153" s="20">
        <f t="shared" si="9"/>
        <v>2289853.593597264</v>
      </c>
    </row>
    <row r="154" spans="1:5" x14ac:dyDescent="0.25">
      <c r="A154">
        <f t="shared" si="5"/>
        <v>21</v>
      </c>
      <c r="B154" s="20">
        <f t="shared" si="8"/>
        <v>2289853.593597264</v>
      </c>
      <c r="C154" s="127">
        <f t="shared" si="6"/>
        <v>68695.607807917913</v>
      </c>
      <c r="D154" s="20">
        <f t="shared" si="7"/>
        <v>-500000</v>
      </c>
      <c r="E154" s="20">
        <f t="shared" si="9"/>
        <v>1858549.201405182</v>
      </c>
    </row>
    <row r="155" spans="1:5" x14ac:dyDescent="0.25">
      <c r="A155">
        <f t="shared" si="5"/>
        <v>22</v>
      </c>
      <c r="B155" s="20">
        <f t="shared" si="8"/>
        <v>1858549.201405182</v>
      </c>
      <c r="C155" s="127">
        <f t="shared" si="6"/>
        <v>55756.47604215546</v>
      </c>
      <c r="D155" s="20">
        <f t="shared" si="7"/>
        <v>-500000</v>
      </c>
      <c r="E155" s="20">
        <f t="shared" si="9"/>
        <v>1414305.6774473374</v>
      </c>
    </row>
    <row r="156" spans="1:5" x14ac:dyDescent="0.25">
      <c r="A156">
        <f t="shared" si="5"/>
        <v>23</v>
      </c>
      <c r="B156" s="20">
        <f t="shared" si="8"/>
        <v>1414305.6774473374</v>
      </c>
      <c r="C156" s="127">
        <f t="shared" si="6"/>
        <v>42429.17032342012</v>
      </c>
      <c r="D156" s="20">
        <f t="shared" si="7"/>
        <v>-500000</v>
      </c>
      <c r="E156" s="20">
        <f t="shared" si="9"/>
        <v>956734.84777075751</v>
      </c>
    </row>
    <row r="157" spans="1:5" x14ac:dyDescent="0.25">
      <c r="A157">
        <f t="shared" si="5"/>
        <v>24</v>
      </c>
      <c r="B157" s="20">
        <f t="shared" si="8"/>
        <v>956734.84777075751</v>
      </c>
      <c r="C157" s="127">
        <f t="shared" si="6"/>
        <v>28702.045433122723</v>
      </c>
      <c r="D157" s="20">
        <f t="shared" si="7"/>
        <v>-500000</v>
      </c>
      <c r="E157" s="20">
        <f t="shared" si="9"/>
        <v>485436.89320388017</v>
      </c>
    </row>
    <row r="158" spans="1:5" x14ac:dyDescent="0.25">
      <c r="A158">
        <f t="shared" si="5"/>
        <v>25</v>
      </c>
      <c r="B158" s="20">
        <f t="shared" si="8"/>
        <v>485436.89320388017</v>
      </c>
      <c r="C158" s="127">
        <f t="shared" si="6"/>
        <v>14563.106796116404</v>
      </c>
      <c r="D158" s="20">
        <f t="shared" si="7"/>
        <v>-500000</v>
      </c>
      <c r="E158" s="127">
        <f t="shared" si="9"/>
        <v>-3.434251993894577E-9</v>
      </c>
    </row>
    <row r="160" spans="1:5" x14ac:dyDescent="0.25">
      <c r="A160" s="4" t="s">
        <v>269</v>
      </c>
    </row>
    <row r="161" spans="2:6" x14ac:dyDescent="0.25">
      <c r="B161" t="s">
        <v>245</v>
      </c>
      <c r="E161" s="20">
        <v>2000000</v>
      </c>
    </row>
    <row r="162" spans="2:6" x14ac:dyDescent="0.25">
      <c r="B162" s="269" t="s">
        <v>246</v>
      </c>
    </row>
    <row r="163" spans="2:6" x14ac:dyDescent="0.25">
      <c r="B163" t="s">
        <v>286</v>
      </c>
      <c r="E163" s="20">
        <v>4000000</v>
      </c>
    </row>
    <row r="165" spans="2:6" x14ac:dyDescent="0.25">
      <c r="E165" s="100" t="s">
        <v>37</v>
      </c>
      <c r="F165" s="100" t="s">
        <v>38</v>
      </c>
    </row>
    <row r="166" spans="2:6" x14ac:dyDescent="0.25">
      <c r="B166" s="9" t="s">
        <v>36</v>
      </c>
      <c r="C166" s="9"/>
      <c r="D166" s="9"/>
      <c r="E166" s="279">
        <f>+E163</f>
        <v>4000000</v>
      </c>
      <c r="F166" s="9"/>
    </row>
    <row r="167" spans="2:6" x14ac:dyDescent="0.25">
      <c r="B167" s="9" t="s">
        <v>248</v>
      </c>
      <c r="C167" s="9"/>
      <c r="D167" s="9"/>
      <c r="E167" s="9"/>
      <c r="F167" s="279">
        <f>+E166</f>
        <v>4000000</v>
      </c>
    </row>
    <row r="169" spans="2:6" x14ac:dyDescent="0.25">
      <c r="E169" s="100" t="s">
        <v>37</v>
      </c>
      <c r="F169" s="100" t="s">
        <v>38</v>
      </c>
    </row>
    <row r="170" spans="2:6" x14ac:dyDescent="0.25">
      <c r="B170" s="9" t="s">
        <v>245</v>
      </c>
      <c r="C170" s="9"/>
      <c r="D170" s="9"/>
      <c r="E170" s="279">
        <f>+E161</f>
        <v>2000000</v>
      </c>
      <c r="F170" s="9"/>
    </row>
    <row r="171" spans="2:6" x14ac:dyDescent="0.25">
      <c r="B171" s="9" t="s">
        <v>36</v>
      </c>
      <c r="C171" s="9"/>
      <c r="D171" s="9"/>
      <c r="E171" s="9"/>
      <c r="F171" s="279">
        <f>+E170</f>
        <v>2000000</v>
      </c>
    </row>
    <row r="173" spans="2:6" x14ac:dyDescent="0.25">
      <c r="E173" s="100" t="s">
        <v>37</v>
      </c>
      <c r="F173" s="100" t="s">
        <v>38</v>
      </c>
    </row>
    <row r="174" spans="2:6" x14ac:dyDescent="0.25">
      <c r="B174" s="9" t="s">
        <v>40</v>
      </c>
      <c r="C174" s="9"/>
      <c r="D174" s="9"/>
      <c r="E174" s="279">
        <f>+C134</f>
        <v>261197.21536917015</v>
      </c>
      <c r="F174" s="9"/>
    </row>
    <row r="175" spans="2:6" x14ac:dyDescent="0.25">
      <c r="B175" s="9" t="s">
        <v>270</v>
      </c>
      <c r="C175" s="9"/>
      <c r="D175" s="9"/>
      <c r="E175" s="9"/>
      <c r="F175" s="279">
        <f>+E174</f>
        <v>261197.21536917015</v>
      </c>
    </row>
    <row r="176" spans="2:6" x14ac:dyDescent="0.25">
      <c r="E176" s="100"/>
      <c r="F176" s="100"/>
    </row>
    <row r="177" spans="1:7" x14ac:dyDescent="0.25">
      <c r="E177" s="100" t="s">
        <v>37</v>
      </c>
      <c r="F177" s="100" t="s">
        <v>38</v>
      </c>
    </row>
    <row r="178" spans="1:7" x14ac:dyDescent="0.25">
      <c r="B178" s="9" t="s">
        <v>36</v>
      </c>
      <c r="C178" s="9"/>
      <c r="D178" s="9"/>
      <c r="E178" s="279">
        <f>-D142</f>
        <v>500000</v>
      </c>
      <c r="F178" s="9"/>
    </row>
    <row r="179" spans="1:7" x14ac:dyDescent="0.25">
      <c r="B179" s="9" t="s">
        <v>40</v>
      </c>
      <c r="C179" s="9"/>
      <c r="D179" s="9"/>
      <c r="E179" s="9"/>
      <c r="F179" s="279">
        <f>+E178</f>
        <v>500000</v>
      </c>
    </row>
    <row r="182" spans="1:7" x14ac:dyDescent="0.25">
      <c r="A182" s="268" t="s">
        <v>287</v>
      </c>
      <c r="B182" s="268"/>
      <c r="C182" s="268"/>
      <c r="D182" s="268"/>
      <c r="E182" s="268"/>
      <c r="F182" s="268"/>
      <c r="G182" s="284" t="s">
        <v>272</v>
      </c>
    </row>
    <row r="183" spans="1:7" x14ac:dyDescent="0.25">
      <c r="A183" s="84" t="s">
        <v>206</v>
      </c>
      <c r="B183" s="84"/>
      <c r="C183" s="84"/>
      <c r="D183" s="84"/>
      <c r="E183" s="84"/>
      <c r="F183" s="84"/>
      <c r="G183" s="84"/>
    </row>
    <row r="184" spans="1:7" x14ac:dyDescent="0.25">
      <c r="A184" s="84" t="s">
        <v>208</v>
      </c>
      <c r="B184" s="84"/>
      <c r="C184" s="84"/>
      <c r="D184" s="84"/>
      <c r="E184" s="84"/>
      <c r="F184" s="84"/>
      <c r="G184" s="84"/>
    </row>
    <row r="185" spans="1:7" x14ac:dyDescent="0.25">
      <c r="A185" s="84" t="s">
        <v>207</v>
      </c>
      <c r="B185" s="84"/>
      <c r="C185" s="84"/>
      <c r="D185" s="84"/>
      <c r="E185" s="84"/>
      <c r="F185" s="84"/>
      <c r="G185" s="84"/>
    </row>
    <row r="186" spans="1:7" x14ac:dyDescent="0.25">
      <c r="A186" s="84"/>
      <c r="B186" s="84" t="s">
        <v>210</v>
      </c>
      <c r="C186" s="84"/>
      <c r="D186" s="84"/>
      <c r="E186" s="84"/>
      <c r="F186" s="84"/>
      <c r="G186" s="84"/>
    </row>
    <row r="187" spans="1:7" x14ac:dyDescent="0.25">
      <c r="A187" s="84"/>
      <c r="B187" s="84" t="s">
        <v>209</v>
      </c>
      <c r="C187" s="84"/>
      <c r="D187" s="84"/>
      <c r="E187" s="84"/>
      <c r="F187" s="84"/>
      <c r="G187" s="84"/>
    </row>
    <row r="188" spans="1:7" x14ac:dyDescent="0.25">
      <c r="A188" s="84"/>
      <c r="B188" s="84" t="s">
        <v>237</v>
      </c>
      <c r="C188" s="84"/>
      <c r="D188" s="84"/>
      <c r="E188" s="84"/>
      <c r="F188" s="84"/>
      <c r="G188" s="84"/>
    </row>
    <row r="189" spans="1:7" x14ac:dyDescent="0.25">
      <c r="A189" s="84"/>
      <c r="B189" s="84" t="s">
        <v>238</v>
      </c>
      <c r="C189" s="84"/>
      <c r="D189" s="84"/>
      <c r="E189" s="84"/>
      <c r="F189" s="84"/>
      <c r="G189" s="84"/>
    </row>
    <row r="190" spans="1:7" x14ac:dyDescent="0.25">
      <c r="A190" s="84"/>
      <c r="B190" s="84" t="s">
        <v>211</v>
      </c>
      <c r="C190" s="84"/>
      <c r="D190" s="84"/>
      <c r="E190" s="84"/>
      <c r="F190" s="84"/>
      <c r="G190" s="84"/>
    </row>
    <row r="191" spans="1:7" x14ac:dyDescent="0.25">
      <c r="A191" s="84"/>
      <c r="B191" s="84" t="s">
        <v>239</v>
      </c>
      <c r="C191" s="84"/>
      <c r="D191" s="84"/>
      <c r="E191" s="84"/>
      <c r="F191" s="84"/>
      <c r="G191" s="84"/>
    </row>
    <row r="192" spans="1:7" x14ac:dyDescent="0.25">
      <c r="A192" s="84"/>
      <c r="B192" s="84" t="s">
        <v>288</v>
      </c>
      <c r="C192" s="84"/>
      <c r="D192" s="84"/>
      <c r="E192" s="84"/>
      <c r="F192" s="84"/>
      <c r="G192" s="84"/>
    </row>
    <row r="194" spans="1:7" x14ac:dyDescent="0.25">
      <c r="A194" s="4" t="s">
        <v>241</v>
      </c>
    </row>
    <row r="195" spans="1:7" x14ac:dyDescent="0.25">
      <c r="E195" s="100" t="s">
        <v>37</v>
      </c>
      <c r="F195" s="100" t="s">
        <v>38</v>
      </c>
    </row>
    <row r="196" spans="1:7" x14ac:dyDescent="0.25">
      <c r="B196" s="9" t="s">
        <v>242</v>
      </c>
      <c r="C196" s="9"/>
      <c r="D196" s="9"/>
      <c r="E196" s="279">
        <f>+F197</f>
        <v>4000000</v>
      </c>
      <c r="F196" s="9"/>
      <c r="G196" t="s">
        <v>263</v>
      </c>
    </row>
    <row r="197" spans="1:7" x14ac:dyDescent="0.25">
      <c r="B197" s="9" t="s">
        <v>36</v>
      </c>
      <c r="C197" s="9"/>
      <c r="D197" s="9"/>
      <c r="E197" s="9"/>
      <c r="F197" s="279">
        <v>4000000</v>
      </c>
    </row>
    <row r="198" spans="1:7" x14ac:dyDescent="0.25">
      <c r="B198" s="286" t="s">
        <v>289</v>
      </c>
    </row>
    <row r="200" spans="1:7" x14ac:dyDescent="0.25">
      <c r="B200" t="s">
        <v>290</v>
      </c>
    </row>
    <row r="202" spans="1:7" x14ac:dyDescent="0.25">
      <c r="B202" s="285" t="s">
        <v>291</v>
      </c>
    </row>
    <row r="203" spans="1:7" x14ac:dyDescent="0.25">
      <c r="E203" s="100" t="s">
        <v>37</v>
      </c>
      <c r="F203" s="100" t="s">
        <v>38</v>
      </c>
    </row>
    <row r="204" spans="1:7" x14ac:dyDescent="0.25">
      <c r="B204" s="9" t="s">
        <v>242</v>
      </c>
      <c r="C204" s="9"/>
      <c r="D204" s="9"/>
      <c r="E204" s="279">
        <f>+F205</f>
        <v>40000000</v>
      </c>
      <c r="F204" s="9"/>
      <c r="G204" t="s">
        <v>263</v>
      </c>
    </row>
    <row r="205" spans="1:7" x14ac:dyDescent="0.25">
      <c r="B205" s="9" t="s">
        <v>36</v>
      </c>
      <c r="C205" s="9"/>
      <c r="D205" s="9"/>
      <c r="E205" s="9"/>
      <c r="F205" s="279">
        <v>40000000</v>
      </c>
      <c r="G205" t="s">
        <v>293</v>
      </c>
    </row>
    <row r="207" spans="1:7" x14ac:dyDescent="0.25">
      <c r="B207" s="285" t="s">
        <v>292</v>
      </c>
    </row>
    <row r="208" spans="1:7" x14ac:dyDescent="0.25">
      <c r="E208" s="100" t="s">
        <v>37</v>
      </c>
      <c r="F208" s="100" t="s">
        <v>38</v>
      </c>
    </row>
    <row r="209" spans="2:7" x14ac:dyDescent="0.25">
      <c r="B209" s="9" t="s">
        <v>294</v>
      </c>
      <c r="C209" s="9"/>
      <c r="D209" s="9"/>
      <c r="E209" s="279">
        <f>+F210</f>
        <v>40000000</v>
      </c>
      <c r="F209" s="9"/>
    </row>
    <row r="210" spans="2:7" x14ac:dyDescent="0.25">
      <c r="B210" s="9" t="s">
        <v>36</v>
      </c>
      <c r="C210" s="9"/>
      <c r="D210" s="9"/>
      <c r="E210" s="9"/>
      <c r="F210" s="279">
        <v>40000000</v>
      </c>
      <c r="G210" t="s">
        <v>293</v>
      </c>
    </row>
    <row r="212" spans="2:7" x14ac:dyDescent="0.25">
      <c r="E212" s="100" t="s">
        <v>37</v>
      </c>
      <c r="F212" s="100" t="s">
        <v>38</v>
      </c>
    </row>
    <row r="213" spans="2:7" x14ac:dyDescent="0.25">
      <c r="B213" s="9" t="s">
        <v>35</v>
      </c>
      <c r="C213" s="9"/>
      <c r="D213" s="9"/>
      <c r="E213" s="279">
        <f>+F214</f>
        <v>40000000</v>
      </c>
      <c r="F213" s="9"/>
    </row>
    <row r="214" spans="2:7" x14ac:dyDescent="0.25">
      <c r="B214" s="9" t="s">
        <v>295</v>
      </c>
      <c r="C214" s="9"/>
      <c r="D214" s="9"/>
      <c r="E214" s="9"/>
      <c r="F214" s="279">
        <v>40000000</v>
      </c>
    </row>
    <row r="216" spans="2:7" x14ac:dyDescent="0.25">
      <c r="B216" s="285" t="s">
        <v>296</v>
      </c>
    </row>
    <row r="217" spans="2:7" x14ac:dyDescent="0.25">
      <c r="E217" s="100" t="s">
        <v>37</v>
      </c>
      <c r="F217" s="100" t="s">
        <v>38</v>
      </c>
    </row>
    <row r="218" spans="2:7" x14ac:dyDescent="0.25">
      <c r="B218" s="9" t="s">
        <v>294</v>
      </c>
      <c r="C218" s="9"/>
      <c r="D218" s="9"/>
      <c r="E218" s="279">
        <f>+F219</f>
        <v>40000000</v>
      </c>
      <c r="F218" s="9"/>
    </row>
    <row r="219" spans="2:7" x14ac:dyDescent="0.25">
      <c r="B219" s="9" t="s">
        <v>36</v>
      </c>
      <c r="C219" s="9"/>
      <c r="D219" s="9"/>
      <c r="E219" s="9"/>
      <c r="F219" s="279">
        <v>40000000</v>
      </c>
      <c r="G219" t="s">
        <v>293</v>
      </c>
    </row>
    <row r="221" spans="2:7" x14ac:dyDescent="0.25">
      <c r="E221" s="100" t="s">
        <v>37</v>
      </c>
      <c r="F221" s="100" t="s">
        <v>38</v>
      </c>
    </row>
    <row r="222" spans="2:7" x14ac:dyDescent="0.25">
      <c r="B222" s="9" t="s">
        <v>35</v>
      </c>
      <c r="C222" s="9"/>
      <c r="D222" s="9"/>
      <c r="E222" s="279">
        <f>+F223</f>
        <v>48000000</v>
      </c>
      <c r="F222" s="9"/>
    </row>
    <row r="223" spans="2:7" x14ac:dyDescent="0.25">
      <c r="B223" s="9" t="s">
        <v>295</v>
      </c>
      <c r="C223" s="9"/>
      <c r="D223" s="9"/>
      <c r="E223" s="9"/>
      <c r="F223" s="279">
        <f>+E218*(1+G223)</f>
        <v>48000000</v>
      </c>
      <c r="G223" s="283">
        <v>0.2</v>
      </c>
    </row>
    <row r="225" spans="1:7" x14ac:dyDescent="0.25">
      <c r="A225" s="268" t="s">
        <v>297</v>
      </c>
      <c r="B225" s="268"/>
      <c r="C225" s="268"/>
      <c r="D225" s="268"/>
      <c r="E225" s="268"/>
      <c r="F225" s="268"/>
      <c r="G225" s="284" t="s">
        <v>272</v>
      </c>
    </row>
    <row r="226" spans="1:7" x14ac:dyDescent="0.25">
      <c r="A226" s="84" t="s">
        <v>206</v>
      </c>
      <c r="B226" s="84"/>
      <c r="C226" s="84"/>
      <c r="D226" s="84"/>
      <c r="E226" s="84"/>
      <c r="F226" s="84"/>
      <c r="G226" s="84"/>
    </row>
    <row r="227" spans="1:7" x14ac:dyDescent="0.25">
      <c r="A227" s="84" t="s">
        <v>208</v>
      </c>
      <c r="B227" s="84"/>
      <c r="C227" s="84"/>
      <c r="D227" s="84"/>
      <c r="E227" s="84"/>
      <c r="F227" s="84"/>
      <c r="G227" s="84"/>
    </row>
    <row r="228" spans="1:7" x14ac:dyDescent="0.25">
      <c r="A228" s="84" t="s">
        <v>207</v>
      </c>
      <c r="B228" s="84"/>
      <c r="C228" s="84"/>
      <c r="D228" s="84"/>
      <c r="E228" s="84"/>
      <c r="F228" s="84"/>
      <c r="G228" s="84"/>
    </row>
    <row r="229" spans="1:7" x14ac:dyDescent="0.25">
      <c r="A229" s="84"/>
      <c r="B229" s="84" t="s">
        <v>210</v>
      </c>
      <c r="C229" s="84"/>
      <c r="D229" s="84"/>
      <c r="E229" s="84"/>
      <c r="F229" s="84"/>
      <c r="G229" s="84"/>
    </row>
    <row r="230" spans="1:7" x14ac:dyDescent="0.25">
      <c r="A230" s="84"/>
      <c r="B230" s="84" t="s">
        <v>209</v>
      </c>
      <c r="C230" s="84"/>
      <c r="D230" s="84"/>
      <c r="E230" s="84"/>
      <c r="F230" s="84"/>
      <c r="G230" s="84"/>
    </row>
    <row r="231" spans="1:7" x14ac:dyDescent="0.25">
      <c r="A231" s="84"/>
      <c r="B231" s="84" t="s">
        <v>237</v>
      </c>
      <c r="C231" s="84"/>
      <c r="D231" s="84"/>
      <c r="E231" s="84"/>
      <c r="F231" s="84"/>
      <c r="G231" s="84"/>
    </row>
    <row r="232" spans="1:7" x14ac:dyDescent="0.25">
      <c r="A232" s="84"/>
      <c r="B232" s="84" t="s">
        <v>238</v>
      </c>
      <c r="C232" s="84"/>
      <c r="D232" s="84"/>
      <c r="E232" s="84"/>
      <c r="F232" s="84"/>
      <c r="G232" s="84"/>
    </row>
    <row r="233" spans="1:7" x14ac:dyDescent="0.25">
      <c r="A233" s="84"/>
      <c r="B233" s="84" t="s">
        <v>211</v>
      </c>
      <c r="C233" s="84"/>
      <c r="D233" s="84"/>
      <c r="E233" s="84"/>
      <c r="F233" s="84"/>
      <c r="G233" s="84"/>
    </row>
    <row r="234" spans="1:7" x14ac:dyDescent="0.25">
      <c r="A234" s="84"/>
      <c r="B234" s="84" t="s">
        <v>239</v>
      </c>
      <c r="C234" s="84"/>
      <c r="D234" s="84"/>
      <c r="E234" s="84"/>
      <c r="F234" s="84"/>
      <c r="G234" s="84"/>
    </row>
    <row r="235" spans="1:7" x14ac:dyDescent="0.25">
      <c r="A235" s="84"/>
      <c r="B235" s="86" t="s">
        <v>298</v>
      </c>
      <c r="C235" s="86"/>
      <c r="D235" s="86"/>
      <c r="E235" s="86"/>
      <c r="F235" s="86"/>
      <c r="G235" s="84"/>
    </row>
    <row r="236" spans="1:7" x14ac:dyDescent="0.25">
      <c r="A236" s="84"/>
      <c r="B236" s="86"/>
      <c r="C236" s="86"/>
      <c r="D236" s="86"/>
      <c r="E236" s="86"/>
      <c r="F236" s="86"/>
      <c r="G236" s="84"/>
    </row>
    <row r="238" spans="1:7" x14ac:dyDescent="0.25">
      <c r="A238" s="4" t="s">
        <v>241</v>
      </c>
    </row>
    <row r="239" spans="1:7" x14ac:dyDescent="0.25">
      <c r="E239" s="100" t="s">
        <v>37</v>
      </c>
      <c r="F239" s="100" t="s">
        <v>38</v>
      </c>
    </row>
    <row r="240" spans="1:7" x14ac:dyDescent="0.25">
      <c r="B240" s="11" t="s">
        <v>242</v>
      </c>
      <c r="C240" s="11"/>
      <c r="D240" s="11"/>
      <c r="E240" s="288">
        <f>+F241+F242</f>
        <v>34259723.58967337</v>
      </c>
      <c r="F240" s="9"/>
      <c r="G240" t="s">
        <v>263</v>
      </c>
    </row>
    <row r="241" spans="1:7" x14ac:dyDescent="0.25">
      <c r="B241" s="11" t="s">
        <v>36</v>
      </c>
      <c r="C241" s="11"/>
      <c r="D241" s="11"/>
      <c r="E241" s="11"/>
      <c r="F241" s="288">
        <v>20000000</v>
      </c>
    </row>
    <row r="242" spans="1:7" x14ac:dyDescent="0.25">
      <c r="B242" s="11" t="s">
        <v>299</v>
      </c>
      <c r="C242" s="11"/>
      <c r="D242" s="11"/>
      <c r="E242" s="11"/>
      <c r="F242" s="288">
        <f>+C247</f>
        <v>14259723.589673366</v>
      </c>
      <c r="G242" t="s">
        <v>285</v>
      </c>
    </row>
    <row r="244" spans="1:7" x14ac:dyDescent="0.25">
      <c r="B244" t="s">
        <v>300</v>
      </c>
      <c r="C244" s="20">
        <v>20000000</v>
      </c>
    </row>
    <row r="245" spans="1:7" x14ac:dyDescent="0.25">
      <c r="B245" t="s">
        <v>42</v>
      </c>
      <c r="C245" s="283">
        <v>7.0000000000000007E-2</v>
      </c>
      <c r="D245" t="s">
        <v>301</v>
      </c>
    </row>
    <row r="246" spans="1:7" x14ac:dyDescent="0.25">
      <c r="B246" t="s">
        <v>29</v>
      </c>
      <c r="C246">
        <v>5</v>
      </c>
    </row>
    <row r="247" spans="1:7" x14ac:dyDescent="0.25">
      <c r="B247" t="s">
        <v>43</v>
      </c>
      <c r="C247" s="20">
        <f>C244/(1+C245)^C246</f>
        <v>14259723.589673366</v>
      </c>
    </row>
    <row r="250" spans="1:7" x14ac:dyDescent="0.25">
      <c r="B250" s="289" t="s">
        <v>46</v>
      </c>
      <c r="C250" s="289" t="s">
        <v>148</v>
      </c>
      <c r="D250" s="289" t="s">
        <v>302</v>
      </c>
      <c r="E250" s="289" t="s">
        <v>49</v>
      </c>
    </row>
    <row r="251" spans="1:7" x14ac:dyDescent="0.25">
      <c r="A251">
        <v>1</v>
      </c>
      <c r="B251" s="20">
        <f>+F242</f>
        <v>14259723.589673366</v>
      </c>
      <c r="C251" s="105">
        <f>+B251*$C$245</f>
        <v>998180.65127713571</v>
      </c>
      <c r="D251" s="20">
        <v>0</v>
      </c>
      <c r="E251" s="20">
        <f>+SUM(B251:D251)</f>
        <v>15257904.240950502</v>
      </c>
    </row>
    <row r="252" spans="1:7" x14ac:dyDescent="0.25">
      <c r="A252">
        <f>+A251+1</f>
        <v>2</v>
      </c>
      <c r="B252" s="20">
        <f>+E251</f>
        <v>15257904.240950502</v>
      </c>
      <c r="C252" s="105">
        <f>+B252*$C$245</f>
        <v>1068053.2968665352</v>
      </c>
      <c r="D252" s="20">
        <v>0</v>
      </c>
      <c r="E252" s="20">
        <f>+SUM(B252:D252)</f>
        <v>16325957.537817039</v>
      </c>
    </row>
    <row r="253" spans="1:7" x14ac:dyDescent="0.25">
      <c r="A253">
        <f t="shared" ref="A253:A255" si="10">+A252+1</f>
        <v>3</v>
      </c>
      <c r="B253" s="20">
        <f t="shared" ref="B253:B255" si="11">+E252</f>
        <v>16325957.537817039</v>
      </c>
      <c r="C253" s="105">
        <f t="shared" ref="C253:C255" si="12">+B253*$C$245</f>
        <v>1142817.0276471928</v>
      </c>
      <c r="D253" s="20">
        <v>0</v>
      </c>
      <c r="E253" s="20">
        <f t="shared" ref="E253:E255" si="13">+SUM(B253:D253)</f>
        <v>17468774.565464232</v>
      </c>
    </row>
    <row r="254" spans="1:7" x14ac:dyDescent="0.25">
      <c r="A254">
        <f t="shared" si="10"/>
        <v>4</v>
      </c>
      <c r="B254" s="20">
        <f t="shared" si="11"/>
        <v>17468774.565464232</v>
      </c>
      <c r="C254" s="105">
        <f t="shared" si="12"/>
        <v>1222814.2195824964</v>
      </c>
      <c r="D254" s="20">
        <v>0</v>
      </c>
      <c r="E254" s="20">
        <f t="shared" si="13"/>
        <v>18691588.78504673</v>
      </c>
    </row>
    <row r="255" spans="1:7" x14ac:dyDescent="0.25">
      <c r="A255">
        <f t="shared" si="10"/>
        <v>5</v>
      </c>
      <c r="B255" s="20">
        <f t="shared" si="11"/>
        <v>18691588.78504673</v>
      </c>
      <c r="C255" s="105">
        <f t="shared" si="12"/>
        <v>1308411.2149532712</v>
      </c>
      <c r="D255" s="20">
        <f>-C244</f>
        <v>-20000000</v>
      </c>
      <c r="E255" s="131">
        <f t="shared" si="1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Q71"/>
  <sheetViews>
    <sheetView zoomScale="150" zoomScaleNormal="150" workbookViewId="0">
      <selection activeCell="E17" sqref="E17:K17"/>
    </sheetView>
  </sheetViews>
  <sheetFormatPr baseColWidth="10" defaultColWidth="9.140625" defaultRowHeight="15" x14ac:dyDescent="0.25"/>
  <cols>
    <col min="15" max="15" width="12" customWidth="1"/>
    <col min="17" max="17" width="3" customWidth="1"/>
  </cols>
  <sheetData>
    <row r="1" spans="1:17" ht="21" x14ac:dyDescent="0.35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8"/>
    </row>
    <row r="2" spans="1:17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8"/>
    </row>
    <row r="3" spans="1:17" x14ac:dyDescent="0.25">
      <c r="Q3" s="8"/>
    </row>
    <row r="4" spans="1:17" x14ac:dyDescent="0.25">
      <c r="Q4" s="8"/>
    </row>
    <row r="5" spans="1:17" x14ac:dyDescent="0.25">
      <c r="Q5" s="8"/>
    </row>
    <row r="6" spans="1:17" x14ac:dyDescent="0.25">
      <c r="Q6" s="8"/>
    </row>
    <row r="7" spans="1:17" x14ac:dyDescent="0.25">
      <c r="Q7" s="8"/>
    </row>
    <row r="8" spans="1:17" x14ac:dyDescent="0.25">
      <c r="Q8" s="8"/>
    </row>
    <row r="9" spans="1:17" x14ac:dyDescent="0.25">
      <c r="Q9" s="8"/>
    </row>
    <row r="10" spans="1:17" x14ac:dyDescent="0.25">
      <c r="Q10" s="8"/>
    </row>
    <row r="11" spans="1:17" x14ac:dyDescent="0.25">
      <c r="Q11" s="8"/>
    </row>
    <row r="12" spans="1:17" x14ac:dyDescent="0.25">
      <c r="Q12" s="8"/>
    </row>
    <row r="13" spans="1:17" x14ac:dyDescent="0.25">
      <c r="Q13" s="8"/>
    </row>
    <row r="14" spans="1:17" x14ac:dyDescent="0.25">
      <c r="Q14" s="8"/>
    </row>
    <row r="15" spans="1:17" x14ac:dyDescent="0.25">
      <c r="Q15" s="8"/>
    </row>
    <row r="16" spans="1:17" x14ac:dyDescent="0.25">
      <c r="Q16" s="8"/>
    </row>
    <row r="17" spans="11:17" x14ac:dyDescent="0.25">
      <c r="Q17" s="8"/>
    </row>
    <row r="18" spans="11:17" x14ac:dyDescent="0.25">
      <c r="Q18" s="8"/>
    </row>
    <row r="19" spans="11:17" x14ac:dyDescent="0.25">
      <c r="Q19" s="8"/>
    </row>
    <row r="20" spans="11:17" x14ac:dyDescent="0.25">
      <c r="Q20" s="8"/>
    </row>
    <row r="21" spans="11:17" x14ac:dyDescent="0.25">
      <c r="Q21" s="8"/>
    </row>
    <row r="22" spans="11:17" x14ac:dyDescent="0.25">
      <c r="Q22" s="8"/>
    </row>
    <row r="23" spans="11:17" x14ac:dyDescent="0.25">
      <c r="Q23" s="8"/>
    </row>
    <row r="24" spans="11:17" x14ac:dyDescent="0.25">
      <c r="Q24" s="8"/>
    </row>
    <row r="25" spans="11:17" x14ac:dyDescent="0.25">
      <c r="Q25" s="8"/>
    </row>
    <row r="26" spans="11:17" x14ac:dyDescent="0.25">
      <c r="Q26" s="8"/>
    </row>
    <row r="27" spans="11:17" x14ac:dyDescent="0.25">
      <c r="Q27" s="8"/>
    </row>
    <row r="28" spans="11:17" x14ac:dyDescent="0.25">
      <c r="Q28" s="8"/>
    </row>
    <row r="29" spans="11:17" x14ac:dyDescent="0.25">
      <c r="Q29" s="8"/>
    </row>
    <row r="30" spans="11:17" x14ac:dyDescent="0.25">
      <c r="K30" s="6" t="s">
        <v>2</v>
      </c>
      <c r="L30" s="7"/>
      <c r="M30" s="7"/>
      <c r="N30" s="7"/>
      <c r="O30" s="7"/>
      <c r="Q30" s="8"/>
    </row>
    <row r="31" spans="11:17" x14ac:dyDescent="0.25">
      <c r="K31" s="5" t="s">
        <v>3</v>
      </c>
      <c r="L31" s="5"/>
      <c r="M31" s="5"/>
      <c r="N31" s="5"/>
      <c r="O31" s="5"/>
      <c r="Q31" s="8"/>
    </row>
    <row r="32" spans="11:17" x14ac:dyDescent="0.25">
      <c r="K32" s="5" t="s">
        <v>4</v>
      </c>
      <c r="L32" s="5"/>
      <c r="M32" s="5"/>
      <c r="N32" s="5"/>
      <c r="O32" s="5"/>
      <c r="Q32" s="8"/>
    </row>
    <row r="33" spans="10:17" x14ac:dyDescent="0.25">
      <c r="K33" s="124" t="s">
        <v>8</v>
      </c>
      <c r="L33" s="5" t="s">
        <v>5</v>
      </c>
      <c r="M33" s="5"/>
      <c r="N33" s="5"/>
      <c r="O33" s="124" t="s">
        <v>11</v>
      </c>
      <c r="Q33" s="8"/>
    </row>
    <row r="34" spans="10:17" x14ac:dyDescent="0.25">
      <c r="K34" s="124" t="s">
        <v>9</v>
      </c>
      <c r="L34" s="5" t="s">
        <v>6</v>
      </c>
      <c r="M34" s="5"/>
      <c r="N34" s="5"/>
      <c r="O34" s="124" t="s">
        <v>12</v>
      </c>
      <c r="Q34" s="8"/>
    </row>
    <row r="35" spans="10:17" x14ac:dyDescent="0.25">
      <c r="K35" s="285" t="s">
        <v>10</v>
      </c>
      <c r="L35" s="10" t="s">
        <v>7</v>
      </c>
      <c r="M35" s="10"/>
      <c r="N35" s="10"/>
      <c r="O35" s="124" t="s">
        <v>13</v>
      </c>
      <c r="Q35" s="8"/>
    </row>
    <row r="36" spans="10:17" x14ac:dyDescent="0.25">
      <c r="Q36" s="8"/>
    </row>
    <row r="37" spans="10:17" x14ac:dyDescent="0.25">
      <c r="K37" s="124" t="s">
        <v>8</v>
      </c>
      <c r="L37" s="9" t="s">
        <v>5</v>
      </c>
      <c r="M37" s="9"/>
      <c r="N37" s="9"/>
      <c r="O37" s="124" t="s">
        <v>11</v>
      </c>
      <c r="Q37" s="8"/>
    </row>
    <row r="38" spans="10:17" x14ac:dyDescent="0.25">
      <c r="K38" s="124" t="s">
        <v>9</v>
      </c>
      <c r="L38" s="9" t="s">
        <v>14</v>
      </c>
      <c r="M38" s="9"/>
      <c r="N38" s="9"/>
      <c r="O38" s="124" t="s">
        <v>15</v>
      </c>
      <c r="Q38" s="8"/>
    </row>
    <row r="39" spans="10:17" x14ac:dyDescent="0.25">
      <c r="K39" s="124" t="s">
        <v>9</v>
      </c>
      <c r="L39" s="9" t="s">
        <v>6</v>
      </c>
      <c r="M39" s="9"/>
      <c r="N39" s="9"/>
      <c r="O39" s="124" t="s">
        <v>12</v>
      </c>
      <c r="Q39" s="8"/>
    </row>
    <row r="40" spans="10:17" x14ac:dyDescent="0.25">
      <c r="K40" s="285" t="s">
        <v>10</v>
      </c>
      <c r="L40" s="11" t="s">
        <v>7</v>
      </c>
      <c r="M40" s="11"/>
      <c r="N40" s="11"/>
      <c r="O40" s="285" t="s">
        <v>13</v>
      </c>
      <c r="Q40" s="8"/>
    </row>
    <row r="41" spans="10:17" x14ac:dyDescent="0.25">
      <c r="Q41" s="8"/>
    </row>
    <row r="42" spans="10:17" x14ac:dyDescent="0.25">
      <c r="Q42" s="8"/>
    </row>
    <row r="43" spans="10:17" x14ac:dyDescent="0.25">
      <c r="J43" t="s">
        <v>115</v>
      </c>
      <c r="Q43" s="8"/>
    </row>
    <row r="44" spans="10:17" x14ac:dyDescent="0.25">
      <c r="Q44" s="8"/>
    </row>
    <row r="45" spans="10:17" x14ac:dyDescent="0.25">
      <c r="Q45" s="8"/>
    </row>
    <row r="46" spans="10:17" x14ac:dyDescent="0.25">
      <c r="Q46" s="8"/>
    </row>
    <row r="47" spans="10:17" x14ac:dyDescent="0.25">
      <c r="Q47" s="8"/>
    </row>
    <row r="48" spans="10:17" x14ac:dyDescent="0.25">
      <c r="Q48" s="8"/>
    </row>
    <row r="49" spans="17:17" x14ac:dyDescent="0.25">
      <c r="Q49" s="8"/>
    </row>
    <row r="50" spans="17:17" x14ac:dyDescent="0.25">
      <c r="Q50" s="8"/>
    </row>
    <row r="51" spans="17:17" x14ac:dyDescent="0.25">
      <c r="Q51" s="8"/>
    </row>
    <row r="52" spans="17:17" x14ac:dyDescent="0.25">
      <c r="Q52" s="8"/>
    </row>
    <row r="53" spans="17:17" x14ac:dyDescent="0.25">
      <c r="Q53" s="8"/>
    </row>
    <row r="54" spans="17:17" x14ac:dyDescent="0.25">
      <c r="Q54" s="8"/>
    </row>
    <row r="55" spans="17:17" x14ac:dyDescent="0.25">
      <c r="Q55" s="8"/>
    </row>
    <row r="56" spans="17:17" x14ac:dyDescent="0.25">
      <c r="Q56" s="8"/>
    </row>
    <row r="57" spans="17:17" x14ac:dyDescent="0.25">
      <c r="Q57" s="8"/>
    </row>
    <row r="58" spans="17:17" x14ac:dyDescent="0.25">
      <c r="Q58" s="8"/>
    </row>
    <row r="59" spans="17:17" x14ac:dyDescent="0.25">
      <c r="Q59" s="8"/>
    </row>
    <row r="60" spans="17:17" x14ac:dyDescent="0.25">
      <c r="Q60" s="8"/>
    </row>
    <row r="61" spans="17:17" x14ac:dyDescent="0.25">
      <c r="Q61" s="8"/>
    </row>
    <row r="62" spans="17:17" x14ac:dyDescent="0.25">
      <c r="Q62" s="8"/>
    </row>
    <row r="63" spans="17:17" x14ac:dyDescent="0.25">
      <c r="Q63" s="8"/>
    </row>
    <row r="64" spans="17:17" x14ac:dyDescent="0.25">
      <c r="Q64" s="8"/>
    </row>
    <row r="65" spans="1:17" x14ac:dyDescent="0.25">
      <c r="Q65" s="8"/>
    </row>
    <row r="66" spans="1:17" x14ac:dyDescent="0.25">
      <c r="Q66" s="8"/>
    </row>
    <row r="67" spans="1:17" x14ac:dyDescent="0.25">
      <c r="Q67" s="8"/>
    </row>
    <row r="68" spans="1:17" x14ac:dyDescent="0.25">
      <c r="Q68" s="8"/>
    </row>
    <row r="69" spans="1:17" x14ac:dyDescent="0.25">
      <c r="Q69" s="8"/>
    </row>
    <row r="70" spans="1:17" x14ac:dyDescent="0.25">
      <c r="Q70" s="8"/>
    </row>
    <row r="71" spans="1:1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CAD8-6678-4FFC-A16E-577BBFC8D481}">
  <sheetPr>
    <tabColor theme="1"/>
  </sheetPr>
  <dimension ref="A1:S51"/>
  <sheetViews>
    <sheetView topLeftCell="A28" zoomScale="120" zoomScaleNormal="120" workbookViewId="0">
      <selection activeCell="E17" sqref="E17:K17"/>
    </sheetView>
  </sheetViews>
  <sheetFormatPr baseColWidth="10" defaultRowHeight="15" x14ac:dyDescent="0.25"/>
  <cols>
    <col min="9" max="9" width="4" customWidth="1"/>
    <col min="10" max="10" width="4.28515625" customWidth="1"/>
    <col min="11" max="11" width="13.28515625" bestFit="1" customWidth="1"/>
  </cols>
  <sheetData>
    <row r="1" spans="1:19" ht="21" x14ac:dyDescent="0.35">
      <c r="A1" s="83" t="s">
        <v>16</v>
      </c>
      <c r="B1" s="84"/>
      <c r="C1" s="84"/>
      <c r="D1" s="84"/>
      <c r="E1" s="84"/>
      <c r="F1" s="84"/>
      <c r="G1" s="84"/>
      <c r="H1" s="84"/>
      <c r="I1" s="84"/>
      <c r="J1" s="84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L6" s="9"/>
      <c r="M6" s="9"/>
      <c r="N6" s="9"/>
      <c r="O6" s="9"/>
      <c r="P6" s="9"/>
      <c r="Q6" s="9"/>
      <c r="R6" s="9"/>
      <c r="S6" s="9"/>
    </row>
    <row r="7" spans="1:19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L7" s="9"/>
      <c r="M7" s="9"/>
      <c r="N7" s="9"/>
      <c r="O7" s="9"/>
      <c r="P7" s="9"/>
      <c r="Q7" s="9"/>
      <c r="R7" s="9"/>
      <c r="S7" s="9"/>
    </row>
    <row r="8" spans="1:19" ht="15.75" x14ac:dyDescent="0.25">
      <c r="A8" s="85"/>
      <c r="B8" s="85"/>
      <c r="C8" s="85"/>
      <c r="D8" s="85"/>
      <c r="E8" s="85"/>
      <c r="F8" s="85"/>
      <c r="G8" s="85"/>
      <c r="H8" s="85"/>
      <c r="I8" s="84"/>
      <c r="J8" s="84"/>
      <c r="L8" s="9"/>
      <c r="M8" s="9"/>
      <c r="N8" s="9"/>
      <c r="O8" s="9"/>
      <c r="P8" s="9"/>
      <c r="Q8" s="9"/>
      <c r="R8" s="9"/>
      <c r="S8" s="9"/>
    </row>
    <row r="9" spans="1:19" ht="15.75" x14ac:dyDescent="0.25">
      <c r="A9" s="82"/>
      <c r="B9" s="82" t="s">
        <v>17</v>
      </c>
      <c r="C9" s="82"/>
      <c r="D9" s="82"/>
      <c r="E9" s="82"/>
      <c r="F9" s="82"/>
      <c r="G9" s="82"/>
      <c r="H9" s="82"/>
      <c r="I9" s="82"/>
      <c r="J9" s="82"/>
      <c r="L9" s="9"/>
      <c r="M9" s="9"/>
      <c r="N9" s="9"/>
      <c r="O9" s="9"/>
      <c r="P9" s="9"/>
      <c r="Q9" s="9"/>
      <c r="R9" s="9"/>
      <c r="S9" s="9"/>
    </row>
    <row r="10" spans="1:19" ht="15.75" x14ac:dyDescent="0.25">
      <c r="A10" s="82"/>
      <c r="B10" s="82"/>
      <c r="C10" s="82" t="s">
        <v>18</v>
      </c>
      <c r="D10" s="82"/>
      <c r="E10" s="82"/>
      <c r="F10" s="82"/>
      <c r="G10" s="82"/>
      <c r="H10" s="82"/>
      <c r="I10" s="82"/>
      <c r="J10" s="82"/>
      <c r="L10" s="9"/>
      <c r="M10" s="9"/>
      <c r="N10" s="9"/>
      <c r="O10" s="9"/>
      <c r="P10" s="9"/>
      <c r="Q10" s="9"/>
      <c r="R10" s="9"/>
      <c r="S10" s="9"/>
    </row>
    <row r="11" spans="1:19" ht="15.75" x14ac:dyDescent="0.25">
      <c r="A11" s="82"/>
      <c r="B11" s="82"/>
      <c r="C11" s="82" t="s">
        <v>19</v>
      </c>
      <c r="D11" s="82"/>
      <c r="E11" s="82"/>
      <c r="F11" s="82"/>
      <c r="G11" s="82"/>
      <c r="H11" s="82"/>
      <c r="I11" s="82"/>
      <c r="J11" s="82"/>
      <c r="L11" s="9"/>
      <c r="M11" s="9"/>
      <c r="N11" s="9"/>
      <c r="O11" s="9"/>
      <c r="P11" s="9"/>
      <c r="Q11" s="9"/>
      <c r="R11" s="9"/>
      <c r="S11" s="9"/>
    </row>
    <row r="12" spans="1:19" ht="15.75" x14ac:dyDescent="0.25">
      <c r="A12" s="82"/>
      <c r="B12" s="82"/>
      <c r="C12" s="82" t="s">
        <v>20</v>
      </c>
      <c r="D12" s="82"/>
      <c r="E12" s="82"/>
      <c r="F12" s="82"/>
      <c r="G12" s="82"/>
      <c r="H12" s="82"/>
      <c r="I12" s="82"/>
      <c r="J12" s="82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L13" s="9"/>
      <c r="M13" s="9"/>
      <c r="N13" s="9"/>
      <c r="O13" s="9"/>
      <c r="P13" s="9"/>
      <c r="Q13" s="9"/>
      <c r="R13" s="9"/>
      <c r="S13" s="9"/>
    </row>
    <row r="14" spans="1:19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  <c r="L15" s="9"/>
      <c r="M15" s="9"/>
      <c r="N15" s="9"/>
      <c r="O15" s="9"/>
      <c r="P15" s="9"/>
      <c r="Q15" s="9"/>
      <c r="R15" s="9"/>
      <c r="S15" s="9"/>
    </row>
    <row r="16" spans="1:19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L17" s="9"/>
      <c r="M17" s="9"/>
      <c r="N17" s="9"/>
      <c r="O17" s="9"/>
      <c r="P17" s="9"/>
      <c r="Q17" s="9"/>
      <c r="R17" s="9"/>
      <c r="S17" s="9"/>
    </row>
    <row r="18" spans="1:19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5"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9:19" x14ac:dyDescent="0.25"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9:19" x14ac:dyDescent="0.25"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9:19" x14ac:dyDescent="0.25"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9:19" x14ac:dyDescent="0.25"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9:19" x14ac:dyDescent="0.25"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9:19" x14ac:dyDescent="0.25"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9:19" x14ac:dyDescent="0.25"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9:19" x14ac:dyDescent="0.25"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9:19" x14ac:dyDescent="0.25"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9:19" x14ac:dyDescent="0.25"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9:19" x14ac:dyDescent="0.2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9:19" x14ac:dyDescent="0.25"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9:19" x14ac:dyDescent="0.25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9:19" x14ac:dyDescent="0.25"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9:19" x14ac:dyDescent="0.25"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9:19" x14ac:dyDescent="0.25"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5"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25"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6405-070F-486C-B615-4132EF990F57}">
  <sheetPr>
    <tabColor theme="1"/>
  </sheetPr>
  <dimension ref="A1:AH128"/>
  <sheetViews>
    <sheetView zoomScale="190" zoomScaleNormal="190" workbookViewId="0">
      <selection activeCell="E17" sqref="E17:K17"/>
    </sheetView>
  </sheetViews>
  <sheetFormatPr baseColWidth="10" defaultRowHeight="15" x14ac:dyDescent="0.25"/>
  <cols>
    <col min="2" max="2" width="18" customWidth="1"/>
    <col min="6" max="6" width="8.5703125" customWidth="1"/>
    <col min="9" max="9" width="12.42578125" customWidth="1"/>
    <col min="10" max="10" width="12" customWidth="1"/>
    <col min="13" max="13" width="12.7109375" customWidth="1"/>
    <col min="14" max="14" width="12.5703125" customWidth="1"/>
    <col min="15" max="15" width="12.42578125" bestFit="1" customWidth="1"/>
  </cols>
  <sheetData>
    <row r="1" spans="1:12" x14ac:dyDescent="0.25">
      <c r="A1" s="22" t="s">
        <v>21</v>
      </c>
      <c r="B1" s="22"/>
      <c r="C1" s="22"/>
      <c r="D1" s="22"/>
      <c r="E1" s="22"/>
      <c r="F1" s="22"/>
      <c r="G1" s="21"/>
      <c r="H1" s="21"/>
      <c r="I1" s="21"/>
      <c r="J1" s="21"/>
      <c r="K1" s="21"/>
      <c r="L1" s="21"/>
    </row>
    <row r="2" spans="1:12" x14ac:dyDescent="0.25">
      <c r="A2" s="86" t="s">
        <v>22</v>
      </c>
      <c r="B2" s="86" t="s">
        <v>23</v>
      </c>
      <c r="C2" s="86"/>
    </row>
    <row r="3" spans="1:12" x14ac:dyDescent="0.25">
      <c r="A3" s="86"/>
      <c r="B3" s="86" t="s">
        <v>24</v>
      </c>
      <c r="C3" s="86"/>
    </row>
    <row r="4" spans="1:12" x14ac:dyDescent="0.25">
      <c r="A4" s="86" t="s">
        <v>25</v>
      </c>
      <c r="B4" s="86"/>
      <c r="C4" s="86"/>
      <c r="D4" s="86"/>
    </row>
    <row r="5" spans="1:12" x14ac:dyDescent="0.25">
      <c r="A5" s="86" t="s">
        <v>26</v>
      </c>
      <c r="B5" s="86" t="s">
        <v>27</v>
      </c>
      <c r="C5" s="86"/>
      <c r="D5" s="86"/>
    </row>
    <row r="6" spans="1:12" x14ac:dyDescent="0.25">
      <c r="A6" s="87" t="s">
        <v>28</v>
      </c>
      <c r="B6" s="88">
        <v>40000000</v>
      </c>
      <c r="C6" s="87" t="s">
        <v>31</v>
      </c>
    </row>
    <row r="7" spans="1:12" x14ac:dyDescent="0.25">
      <c r="A7" s="11" t="s">
        <v>29</v>
      </c>
      <c r="B7" s="11">
        <v>20</v>
      </c>
      <c r="C7" s="11" t="s">
        <v>30</v>
      </c>
    </row>
    <row r="8" spans="1:12" ht="15.75" thickBot="1" x14ac:dyDescent="0.3"/>
    <row r="9" spans="1:12" x14ac:dyDescent="0.25">
      <c r="A9" s="12"/>
      <c r="B9" s="13"/>
      <c r="C9" s="13"/>
      <c r="D9" s="13"/>
      <c r="E9" s="13"/>
      <c r="F9" s="13"/>
      <c r="G9" s="89"/>
      <c r="H9" s="89"/>
      <c r="I9" s="90"/>
    </row>
    <row r="10" spans="1:12" x14ac:dyDescent="0.25">
      <c r="A10" s="15"/>
      <c r="G10" s="91"/>
      <c r="H10" s="91"/>
      <c r="I10" s="92"/>
    </row>
    <row r="11" spans="1:12" x14ac:dyDescent="0.25">
      <c r="A11" s="15"/>
      <c r="G11" s="91"/>
      <c r="H11" s="91"/>
      <c r="I11" s="92"/>
    </row>
    <row r="12" spans="1:12" x14ac:dyDescent="0.25">
      <c r="A12" s="15"/>
      <c r="G12" s="91"/>
      <c r="H12" s="91"/>
      <c r="I12" s="92"/>
    </row>
    <row r="13" spans="1:12" x14ac:dyDescent="0.25">
      <c r="A13" s="15"/>
      <c r="G13" s="91"/>
      <c r="H13" s="91"/>
      <c r="I13" s="92"/>
    </row>
    <row r="14" spans="1:12" x14ac:dyDescent="0.25">
      <c r="A14" s="15"/>
      <c r="G14" s="91"/>
      <c r="H14" s="91"/>
      <c r="I14" s="92"/>
    </row>
    <row r="15" spans="1:12" x14ac:dyDescent="0.25">
      <c r="A15" s="15"/>
      <c r="G15" s="91"/>
      <c r="H15" s="91"/>
      <c r="I15" s="92"/>
    </row>
    <row r="16" spans="1:12" ht="9" customHeight="1" thickBot="1" x14ac:dyDescent="0.3">
      <c r="A16" s="17"/>
      <c r="B16" s="18"/>
      <c r="C16" s="18"/>
      <c r="D16" s="18"/>
      <c r="E16" s="18"/>
      <c r="F16" s="18"/>
      <c r="G16" s="93"/>
      <c r="H16" s="93"/>
      <c r="I16" s="94"/>
    </row>
    <row r="18" spans="1:1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31" spans="1:12" ht="15.75" thickBot="1" x14ac:dyDescent="0.3"/>
    <row r="32" spans="1:12" x14ac:dyDescent="0.25">
      <c r="A32" s="12"/>
      <c r="B32" s="13"/>
      <c r="C32" s="13"/>
      <c r="D32" s="13"/>
      <c r="E32" s="13"/>
      <c r="F32" s="14"/>
      <c r="G32" s="109" t="s">
        <v>44</v>
      </c>
      <c r="H32" s="96"/>
      <c r="I32" s="96"/>
      <c r="J32" s="96"/>
      <c r="K32" s="96"/>
      <c r="L32" s="97"/>
    </row>
    <row r="33" spans="1:34" x14ac:dyDescent="0.25">
      <c r="A33" s="15"/>
      <c r="F33" s="16"/>
      <c r="G33" s="98" t="s">
        <v>33</v>
      </c>
      <c r="H33" s="98"/>
      <c r="I33" s="98"/>
      <c r="J33" s="98"/>
      <c r="K33" s="98"/>
      <c r="L33" s="99"/>
    </row>
    <row r="34" spans="1:34" x14ac:dyDescent="0.25">
      <c r="A34" s="15"/>
      <c r="F34" s="16"/>
      <c r="G34" s="98" t="s">
        <v>34</v>
      </c>
      <c r="H34" s="98"/>
      <c r="I34" s="98"/>
      <c r="J34" s="98"/>
      <c r="K34" s="98"/>
      <c r="L34" s="99"/>
    </row>
    <row r="35" spans="1:34" x14ac:dyDescent="0.25">
      <c r="A35" s="15"/>
      <c r="F35" s="16"/>
      <c r="G35" s="84"/>
      <c r="H35" s="84"/>
      <c r="I35" s="84"/>
      <c r="J35" s="103" t="s">
        <v>37</v>
      </c>
      <c r="K35" s="103" t="s">
        <v>38</v>
      </c>
      <c r="L35" s="104"/>
    </row>
    <row r="36" spans="1:34" x14ac:dyDescent="0.25">
      <c r="A36" s="15"/>
      <c r="F36" s="16"/>
      <c r="G36" s="84" t="s">
        <v>35</v>
      </c>
      <c r="H36" s="84"/>
      <c r="I36" s="84"/>
      <c r="J36" s="105">
        <f>+B6</f>
        <v>40000000</v>
      </c>
      <c r="K36" s="84"/>
      <c r="L36" s="104"/>
    </row>
    <row r="37" spans="1:34" x14ac:dyDescent="0.25">
      <c r="A37" s="15"/>
      <c r="F37" s="16"/>
      <c r="G37" s="84" t="s">
        <v>36</v>
      </c>
      <c r="H37" s="84"/>
      <c r="I37" s="84"/>
      <c r="J37" s="84"/>
      <c r="K37" s="105">
        <f>+J36</f>
        <v>40000000</v>
      </c>
      <c r="L37" s="104"/>
    </row>
    <row r="38" spans="1:34" ht="15.75" thickBot="1" x14ac:dyDescent="0.3">
      <c r="A38" s="15"/>
      <c r="F38" s="16"/>
      <c r="G38" s="107" t="s">
        <v>39</v>
      </c>
      <c r="H38" s="107"/>
      <c r="I38" s="107"/>
      <c r="J38" s="107"/>
      <c r="K38" s="107"/>
      <c r="L38" s="108"/>
    </row>
    <row r="39" spans="1:34" x14ac:dyDescent="0.25">
      <c r="A39" s="15"/>
      <c r="F39" s="16"/>
      <c r="G39" s="95" t="s">
        <v>45</v>
      </c>
      <c r="H39" s="96"/>
      <c r="I39" s="96"/>
      <c r="J39" s="96"/>
      <c r="K39" s="96"/>
      <c r="L39" s="97"/>
    </row>
    <row r="40" spans="1:34" x14ac:dyDescent="0.25">
      <c r="A40" s="15"/>
      <c r="F40" s="16"/>
      <c r="G40" s="110" t="s">
        <v>116</v>
      </c>
      <c r="H40" s="91"/>
      <c r="I40" s="91"/>
      <c r="J40" s="91"/>
      <c r="K40" s="91"/>
      <c r="L40" s="92"/>
    </row>
    <row r="41" spans="1:34" x14ac:dyDescent="0.25">
      <c r="A41" s="15"/>
      <c r="F41" s="16"/>
      <c r="G41" s="110" t="s">
        <v>117</v>
      </c>
      <c r="H41" s="91"/>
      <c r="I41" s="91"/>
      <c r="J41" s="91"/>
      <c r="K41" s="91"/>
      <c r="L41" s="92"/>
    </row>
    <row r="42" spans="1:34" ht="15.75" thickBot="1" x14ac:dyDescent="0.3">
      <c r="A42" s="15"/>
      <c r="F42" s="16"/>
      <c r="G42" s="110" t="s">
        <v>118</v>
      </c>
      <c r="H42" s="91"/>
      <c r="I42" s="91"/>
      <c r="J42" s="91"/>
      <c r="K42" s="91"/>
      <c r="L42" s="92"/>
    </row>
    <row r="43" spans="1:34" ht="15.75" thickBot="1" x14ac:dyDescent="0.3">
      <c r="A43" s="15"/>
      <c r="F43" s="16"/>
      <c r="G43" s="111" t="s">
        <v>119</v>
      </c>
      <c r="H43" s="93"/>
      <c r="I43" s="93"/>
      <c r="J43" s="93"/>
      <c r="K43" s="93"/>
      <c r="L43" s="94"/>
      <c r="N43" s="12" t="s">
        <v>51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4"/>
    </row>
    <row r="44" spans="1:34" x14ac:dyDescent="0.25">
      <c r="A44" s="15"/>
      <c r="F44" s="16"/>
      <c r="G44" s="112"/>
      <c r="H44" s="113"/>
      <c r="I44" s="113"/>
      <c r="J44" s="114" t="s">
        <v>37</v>
      </c>
      <c r="K44" s="114" t="s">
        <v>38</v>
      </c>
      <c r="L44" s="115"/>
      <c r="N44" s="15" t="s">
        <v>52</v>
      </c>
      <c r="O44" s="100">
        <v>1</v>
      </c>
      <c r="P44" s="100">
        <f>+O44+1</f>
        <v>2</v>
      </c>
      <c r="Q44" s="100">
        <f t="shared" ref="Q44:AH44" si="0">+P44+1</f>
        <v>3</v>
      </c>
      <c r="R44" s="100">
        <f t="shared" si="0"/>
        <v>4</v>
      </c>
      <c r="S44" s="100">
        <f t="shared" si="0"/>
        <v>5</v>
      </c>
      <c r="T44" s="100">
        <f t="shared" si="0"/>
        <v>6</v>
      </c>
      <c r="U44" s="100">
        <f t="shared" si="0"/>
        <v>7</v>
      </c>
      <c r="V44" s="100">
        <f t="shared" si="0"/>
        <v>8</v>
      </c>
      <c r="W44" s="100">
        <f t="shared" si="0"/>
        <v>9</v>
      </c>
      <c r="X44" s="100">
        <f t="shared" si="0"/>
        <v>10</v>
      </c>
      <c r="Y44" s="100">
        <f t="shared" si="0"/>
        <v>11</v>
      </c>
      <c r="Z44" s="100">
        <f t="shared" si="0"/>
        <v>12</v>
      </c>
      <c r="AA44" s="100">
        <f t="shared" si="0"/>
        <v>13</v>
      </c>
      <c r="AB44" s="100">
        <f t="shared" si="0"/>
        <v>14</v>
      </c>
      <c r="AC44" s="100">
        <f t="shared" si="0"/>
        <v>15</v>
      </c>
      <c r="AD44" s="100">
        <f t="shared" si="0"/>
        <v>16</v>
      </c>
      <c r="AE44" s="100">
        <f t="shared" si="0"/>
        <v>17</v>
      </c>
      <c r="AF44" s="100">
        <f t="shared" si="0"/>
        <v>18</v>
      </c>
      <c r="AG44" s="100">
        <f t="shared" si="0"/>
        <v>19</v>
      </c>
      <c r="AH44" s="25">
        <f t="shared" si="0"/>
        <v>20</v>
      </c>
    </row>
    <row r="45" spans="1:34" x14ac:dyDescent="0.25">
      <c r="A45" s="15"/>
      <c r="F45" s="16"/>
      <c r="G45" s="102" t="s">
        <v>35</v>
      </c>
      <c r="H45" s="84"/>
      <c r="I45" s="84"/>
      <c r="J45" s="105">
        <f>+K47-J46</f>
        <v>27537789.657460012</v>
      </c>
      <c r="K45" s="84"/>
      <c r="L45" s="104"/>
      <c r="N45" s="15" t="s">
        <v>46</v>
      </c>
      <c r="O45" s="105">
        <f>+J46</f>
        <v>12462210.342539987</v>
      </c>
      <c r="P45" s="105">
        <f>+O48</f>
        <v>12085320.859666986</v>
      </c>
      <c r="Q45" s="20">
        <f t="shared" ref="Q45:AH45" si="1">+P48</f>
        <v>11689586.902650336</v>
      </c>
      <c r="R45" s="20">
        <f t="shared" si="1"/>
        <v>11274066.247782853</v>
      </c>
      <c r="S45" s="20">
        <f t="shared" si="1"/>
        <v>10837769.560171995</v>
      </c>
      <c r="T45" s="20">
        <f t="shared" si="1"/>
        <v>10379658.038180595</v>
      </c>
      <c r="U45" s="20">
        <f t="shared" si="1"/>
        <v>9898640.9400896244</v>
      </c>
      <c r="V45" s="20">
        <f t="shared" si="1"/>
        <v>9393572.9870941062</v>
      </c>
      <c r="W45" s="20">
        <f t="shared" si="1"/>
        <v>8863251.6364488117</v>
      </c>
      <c r="X45" s="20">
        <f t="shared" si="1"/>
        <v>8306414.2182712518</v>
      </c>
      <c r="Y45" s="20">
        <f t="shared" si="1"/>
        <v>7721734.9291848149</v>
      </c>
      <c r="Z45" s="20">
        <f t="shared" si="1"/>
        <v>7107821.6756440559</v>
      </c>
      <c r="AA45" s="20">
        <f t="shared" si="1"/>
        <v>6463212.7594262585</v>
      </c>
      <c r="AB45" s="20">
        <f t="shared" si="1"/>
        <v>5786373.3973975712</v>
      </c>
      <c r="AC45" s="20">
        <f t="shared" si="1"/>
        <v>5075692.0672674496</v>
      </c>
      <c r="AD45" s="20">
        <f t="shared" si="1"/>
        <v>4329476.670630822</v>
      </c>
      <c r="AE45" s="20">
        <f t="shared" si="1"/>
        <v>3545950.5041623628</v>
      </c>
      <c r="AF45" s="20">
        <f t="shared" si="1"/>
        <v>2723248.0293704811</v>
      </c>
      <c r="AG45" s="20">
        <f t="shared" si="1"/>
        <v>1859410.4308390054</v>
      </c>
      <c r="AH45" s="26">
        <f t="shared" si="1"/>
        <v>952380.95238095568</v>
      </c>
    </row>
    <row r="46" spans="1:34" x14ac:dyDescent="0.25">
      <c r="A46" s="15"/>
      <c r="F46" s="16"/>
      <c r="G46" s="102" t="s">
        <v>40</v>
      </c>
      <c r="H46" s="84"/>
      <c r="I46" s="84"/>
      <c r="J46" s="105">
        <f>+H51</f>
        <v>12462210.342539987</v>
      </c>
      <c r="K46" s="84"/>
      <c r="L46" s="104"/>
      <c r="N46" s="15" t="s">
        <v>47</v>
      </c>
      <c r="O46" s="20">
        <f t="shared" ref="O46:AH46" si="2">+O45*$H$50</f>
        <v>623110.51712699933</v>
      </c>
      <c r="P46" s="20">
        <f t="shared" si="2"/>
        <v>604266.0429833493</v>
      </c>
      <c r="Q46" s="20">
        <f t="shared" si="2"/>
        <v>584479.34513251681</v>
      </c>
      <c r="R46" s="20">
        <f t="shared" si="2"/>
        <v>563703.31238914269</v>
      </c>
      <c r="S46" s="20">
        <f t="shared" si="2"/>
        <v>541888.47800859984</v>
      </c>
      <c r="T46" s="20">
        <f t="shared" si="2"/>
        <v>518982.90190902981</v>
      </c>
      <c r="U46" s="20">
        <f t="shared" si="2"/>
        <v>494932.04700448125</v>
      </c>
      <c r="V46" s="20">
        <f t="shared" si="2"/>
        <v>469678.64935470535</v>
      </c>
      <c r="W46" s="20">
        <f t="shared" si="2"/>
        <v>443162.58182244061</v>
      </c>
      <c r="X46" s="20">
        <f t="shared" si="2"/>
        <v>415320.71091356262</v>
      </c>
      <c r="Y46" s="20">
        <f t="shared" si="2"/>
        <v>386086.74645924079</v>
      </c>
      <c r="Z46" s="20">
        <f t="shared" si="2"/>
        <v>355391.0837822028</v>
      </c>
      <c r="AA46" s="20">
        <f t="shared" si="2"/>
        <v>323160.63797131297</v>
      </c>
      <c r="AB46" s="20">
        <f t="shared" si="2"/>
        <v>289318.66986987856</v>
      </c>
      <c r="AC46" s="20">
        <f t="shared" si="2"/>
        <v>253784.6033633725</v>
      </c>
      <c r="AD46" s="20">
        <f t="shared" si="2"/>
        <v>216473.83353154111</v>
      </c>
      <c r="AE46" s="20">
        <f t="shared" si="2"/>
        <v>177297.52520811814</v>
      </c>
      <c r="AF46" s="20">
        <f t="shared" si="2"/>
        <v>136162.40146852407</v>
      </c>
      <c r="AG46" s="20">
        <f t="shared" si="2"/>
        <v>92970.521541950278</v>
      </c>
      <c r="AH46" s="26">
        <f t="shared" si="2"/>
        <v>47619.047619047786</v>
      </c>
    </row>
    <row r="47" spans="1:34" ht="15.75" thickBot="1" x14ac:dyDescent="0.3">
      <c r="A47" s="17"/>
      <c r="B47" s="18"/>
      <c r="C47" s="18"/>
      <c r="D47" s="18"/>
      <c r="E47" s="18"/>
      <c r="F47" s="19"/>
      <c r="G47" s="106" t="s">
        <v>36</v>
      </c>
      <c r="H47" s="107"/>
      <c r="I47" s="107"/>
      <c r="J47" s="107"/>
      <c r="K47" s="116">
        <f>+B6</f>
        <v>40000000</v>
      </c>
      <c r="L47" s="108"/>
      <c r="N47" s="15" t="s">
        <v>48</v>
      </c>
      <c r="O47" s="20">
        <f>-H48</f>
        <v>-1000000</v>
      </c>
      <c r="P47" s="20">
        <f>+O47</f>
        <v>-1000000</v>
      </c>
      <c r="Q47" s="20">
        <f t="shared" ref="Q47:AH47" si="3">+P47</f>
        <v>-1000000</v>
      </c>
      <c r="R47" s="20">
        <f t="shared" si="3"/>
        <v>-1000000</v>
      </c>
      <c r="S47" s="20">
        <f t="shared" si="3"/>
        <v>-1000000</v>
      </c>
      <c r="T47" s="20">
        <f t="shared" si="3"/>
        <v>-1000000</v>
      </c>
      <c r="U47" s="20">
        <f t="shared" si="3"/>
        <v>-1000000</v>
      </c>
      <c r="V47" s="20">
        <f t="shared" si="3"/>
        <v>-1000000</v>
      </c>
      <c r="W47" s="20">
        <f t="shared" si="3"/>
        <v>-1000000</v>
      </c>
      <c r="X47" s="20">
        <f t="shared" si="3"/>
        <v>-1000000</v>
      </c>
      <c r="Y47" s="20">
        <f t="shared" si="3"/>
        <v>-1000000</v>
      </c>
      <c r="Z47" s="20">
        <f t="shared" si="3"/>
        <v>-1000000</v>
      </c>
      <c r="AA47" s="20">
        <f t="shared" si="3"/>
        <v>-1000000</v>
      </c>
      <c r="AB47" s="20">
        <f t="shared" si="3"/>
        <v>-1000000</v>
      </c>
      <c r="AC47" s="20">
        <f t="shared" si="3"/>
        <v>-1000000</v>
      </c>
      <c r="AD47" s="20">
        <f t="shared" si="3"/>
        <v>-1000000</v>
      </c>
      <c r="AE47" s="20">
        <f t="shared" si="3"/>
        <v>-1000000</v>
      </c>
      <c r="AF47" s="20">
        <f t="shared" si="3"/>
        <v>-1000000</v>
      </c>
      <c r="AG47" s="20">
        <f t="shared" si="3"/>
        <v>-1000000</v>
      </c>
      <c r="AH47" s="26">
        <f t="shared" si="3"/>
        <v>-1000000</v>
      </c>
    </row>
    <row r="48" spans="1:34" ht="15.75" thickBot="1" x14ac:dyDescent="0.3">
      <c r="G48" s="112" t="s">
        <v>41</v>
      </c>
      <c r="H48" s="117">
        <v>1000000</v>
      </c>
      <c r="N48" s="17" t="s">
        <v>49</v>
      </c>
      <c r="O48" s="116">
        <f t="shared" ref="O48:W48" si="4">SUM(O45:O47)</f>
        <v>12085320.859666986</v>
      </c>
      <c r="P48" s="116">
        <f t="shared" si="4"/>
        <v>11689586.902650336</v>
      </c>
      <c r="Q48" s="101">
        <f t="shared" si="4"/>
        <v>11274066.247782853</v>
      </c>
      <c r="R48" s="101">
        <f t="shared" si="4"/>
        <v>10837769.560171995</v>
      </c>
      <c r="S48" s="101">
        <f t="shared" si="4"/>
        <v>10379658.038180595</v>
      </c>
      <c r="T48" s="101">
        <f t="shared" si="4"/>
        <v>9898640.9400896244</v>
      </c>
      <c r="U48" s="101">
        <f t="shared" si="4"/>
        <v>9393572.9870941062</v>
      </c>
      <c r="V48" s="101">
        <f t="shared" si="4"/>
        <v>8863251.6364488117</v>
      </c>
      <c r="W48" s="101">
        <f t="shared" si="4"/>
        <v>8306414.2182712518</v>
      </c>
      <c r="X48" s="101">
        <f t="shared" ref="X48:AH48" si="5">SUM(X45:X47)</f>
        <v>7721734.9291848149</v>
      </c>
      <c r="Y48" s="101">
        <f t="shared" si="5"/>
        <v>7107821.6756440559</v>
      </c>
      <c r="Z48" s="101">
        <f t="shared" si="5"/>
        <v>6463212.7594262585</v>
      </c>
      <c r="AA48" s="101">
        <f t="shared" si="5"/>
        <v>5786373.3973975712</v>
      </c>
      <c r="AB48" s="101">
        <f t="shared" si="5"/>
        <v>5075692.0672674496</v>
      </c>
      <c r="AC48" s="101">
        <f t="shared" si="5"/>
        <v>4329476.670630822</v>
      </c>
      <c r="AD48" s="101">
        <f t="shared" si="5"/>
        <v>3545950.5041623628</v>
      </c>
      <c r="AE48" s="101">
        <f t="shared" si="5"/>
        <v>2723248.0293704811</v>
      </c>
      <c r="AF48" s="101">
        <f t="shared" si="5"/>
        <v>1859410.4308390054</v>
      </c>
      <c r="AG48" s="101">
        <f t="shared" si="5"/>
        <v>952380.95238095568</v>
      </c>
      <c r="AH48" s="118">
        <f t="shared" si="5"/>
        <v>3.4924596548080444E-9</v>
      </c>
    </row>
    <row r="49" spans="1:33" x14ac:dyDescent="0.25">
      <c r="G49" s="102" t="s">
        <v>29</v>
      </c>
      <c r="H49" s="104">
        <v>20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1:33" x14ac:dyDescent="0.25">
      <c r="G50" s="102" t="s">
        <v>42</v>
      </c>
      <c r="H50" s="119">
        <v>0.05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1:33" ht="15.75" thickBot="1" x14ac:dyDescent="0.3">
      <c r="G51" s="120" t="s">
        <v>43</v>
      </c>
      <c r="H51" s="121">
        <f>PV(H50,H49,-H48,0,0)</f>
        <v>12462210.342539987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1:33" x14ac:dyDescent="0.25"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1:33" x14ac:dyDescent="0.25"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33" ht="15.75" thickBo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33" x14ac:dyDescent="0.25">
      <c r="A55" s="84"/>
      <c r="B55" s="84"/>
      <c r="C55" s="84"/>
      <c r="D55" s="84"/>
      <c r="E55" s="84"/>
      <c r="F55" s="84"/>
      <c r="G55" s="95" t="s">
        <v>120</v>
      </c>
      <c r="H55" s="109" t="s">
        <v>121</v>
      </c>
      <c r="I55" s="96"/>
      <c r="J55" s="96"/>
      <c r="K55" s="96"/>
      <c r="L55" s="97"/>
    </row>
    <row r="56" spans="1:33" x14ac:dyDescent="0.25">
      <c r="A56" s="84"/>
      <c r="B56" s="84"/>
      <c r="C56" s="84"/>
      <c r="D56" s="84"/>
      <c r="E56" s="84"/>
      <c r="F56" s="84"/>
      <c r="G56" s="123" t="s">
        <v>122</v>
      </c>
      <c r="H56" s="124"/>
      <c r="I56" s="124"/>
      <c r="J56" s="124"/>
      <c r="K56" s="124"/>
      <c r="L56" s="125"/>
    </row>
    <row r="57" spans="1:33" x14ac:dyDescent="0.25">
      <c r="A57" s="84"/>
      <c r="B57" s="84"/>
      <c r="C57" s="84"/>
      <c r="D57" s="84"/>
      <c r="E57" s="84"/>
      <c r="F57" s="84"/>
      <c r="G57" s="126" t="s">
        <v>123</v>
      </c>
      <c r="H57" s="124"/>
      <c r="I57" s="124"/>
      <c r="J57" s="127">
        <v>100000000</v>
      </c>
      <c r="K57" s="124"/>
      <c r="L57" s="125"/>
    </row>
    <row r="58" spans="1:33" x14ac:dyDescent="0.25">
      <c r="A58" s="84"/>
      <c r="B58" s="84"/>
      <c r="C58" s="84"/>
      <c r="D58" s="84"/>
      <c r="E58" s="84"/>
      <c r="F58" s="84"/>
      <c r="G58" s="126" t="s">
        <v>124</v>
      </c>
      <c r="H58" s="124"/>
      <c r="I58" s="124"/>
      <c r="J58" s="124"/>
      <c r="K58" s="124"/>
      <c r="L58" s="125"/>
    </row>
    <row r="59" spans="1:33" x14ac:dyDescent="0.25">
      <c r="A59" s="84"/>
      <c r="B59" s="84"/>
      <c r="C59" s="84"/>
      <c r="D59" s="84"/>
      <c r="E59" s="84"/>
      <c r="F59" s="84"/>
      <c r="G59" s="126" t="s">
        <v>125</v>
      </c>
      <c r="H59" s="124"/>
      <c r="I59" s="124"/>
      <c r="J59" s="124"/>
      <c r="K59" s="124"/>
      <c r="L59" s="125"/>
    </row>
    <row r="60" spans="1:33" x14ac:dyDescent="0.25">
      <c r="A60" s="84"/>
      <c r="B60" s="84"/>
      <c r="C60" s="84"/>
      <c r="D60" s="84"/>
      <c r="E60" s="84"/>
      <c r="F60" s="84"/>
      <c r="G60" s="123" t="s">
        <v>126</v>
      </c>
      <c r="H60" s="124"/>
      <c r="I60" s="124"/>
      <c r="J60" s="124"/>
      <c r="K60" s="124"/>
      <c r="L60" s="125"/>
    </row>
    <row r="61" spans="1:33" x14ac:dyDescent="0.25">
      <c r="A61" s="84"/>
      <c r="B61" s="84"/>
      <c r="C61" s="84"/>
      <c r="D61" s="84"/>
      <c r="E61" s="84"/>
      <c r="F61" s="84"/>
      <c r="G61" s="126" t="s">
        <v>127</v>
      </c>
      <c r="H61" s="124"/>
      <c r="I61" s="124"/>
      <c r="J61" s="124"/>
      <c r="K61" s="124"/>
      <c r="L61" s="125"/>
    </row>
    <row r="62" spans="1:33" ht="15.75" thickBot="1" x14ac:dyDescent="0.3">
      <c r="A62" s="84"/>
      <c r="B62" s="84"/>
      <c r="C62" s="84"/>
      <c r="D62" s="84"/>
      <c r="E62" s="84"/>
      <c r="F62" s="84"/>
      <c r="G62" s="128" t="s">
        <v>128</v>
      </c>
      <c r="H62" s="129"/>
      <c r="I62" s="129"/>
      <c r="J62" s="129"/>
      <c r="K62" s="129"/>
      <c r="L62" s="130"/>
    </row>
    <row r="63" spans="1:33" x14ac:dyDescent="0.25">
      <c r="A63" s="84"/>
      <c r="B63" s="84"/>
      <c r="C63" s="84"/>
      <c r="D63" s="84"/>
      <c r="E63" s="84"/>
      <c r="F63" s="84"/>
    </row>
    <row r="64" spans="1:33" x14ac:dyDescent="0.25">
      <c r="A64" s="84"/>
      <c r="B64" s="84"/>
      <c r="C64" s="84"/>
      <c r="D64" s="84"/>
      <c r="E64" s="84"/>
      <c r="F64" s="84"/>
      <c r="I64" s="135" t="s">
        <v>129</v>
      </c>
      <c r="J64" s="4"/>
      <c r="K64" s="135" t="s">
        <v>130</v>
      </c>
      <c r="L64" s="4"/>
      <c r="M64" s="4"/>
      <c r="N64" s="135" t="s">
        <v>131</v>
      </c>
    </row>
    <row r="65" spans="1:14" x14ac:dyDescent="0.25">
      <c r="A65" s="84"/>
      <c r="B65" s="84"/>
      <c r="C65" s="84"/>
      <c r="D65" s="84"/>
      <c r="E65" s="84"/>
      <c r="F65" s="84"/>
      <c r="I65" s="132" t="s">
        <v>37</v>
      </c>
      <c r="J65" s="132" t="s">
        <v>38</v>
      </c>
      <c r="K65" s="133" t="s">
        <v>37</v>
      </c>
      <c r="L65" s="133" t="s">
        <v>38</v>
      </c>
      <c r="M65" s="132" t="s">
        <v>37</v>
      </c>
      <c r="N65" s="132" t="s">
        <v>38</v>
      </c>
    </row>
    <row r="66" spans="1:14" x14ac:dyDescent="0.25">
      <c r="A66" s="84"/>
      <c r="B66" s="84"/>
      <c r="C66" s="84"/>
      <c r="D66" s="84"/>
      <c r="E66" s="84"/>
      <c r="F66" s="84"/>
      <c r="G66" s="4" t="s">
        <v>133</v>
      </c>
      <c r="H66" s="4"/>
      <c r="I66" s="131">
        <f>+J67</f>
        <v>30000000</v>
      </c>
      <c r="K66" s="131">
        <f>+L67</f>
        <v>50000000</v>
      </c>
      <c r="M66" s="131">
        <f>+N67</f>
        <v>20000000</v>
      </c>
    </row>
    <row r="67" spans="1:14" s="4" customFormat="1" x14ac:dyDescent="0.25">
      <c r="A67" s="86"/>
      <c r="B67" s="86"/>
      <c r="C67" s="86"/>
      <c r="D67" s="86"/>
      <c r="E67" s="86"/>
      <c r="F67" s="86"/>
      <c r="G67" s="4" t="s">
        <v>132</v>
      </c>
      <c r="J67" s="131">
        <v>30000000</v>
      </c>
      <c r="L67" s="131">
        <v>50000000</v>
      </c>
      <c r="N67" s="131">
        <v>20000000</v>
      </c>
    </row>
    <row r="68" spans="1:14" x14ac:dyDescent="0.25">
      <c r="A68" s="84"/>
      <c r="B68" s="84"/>
      <c r="C68" s="84"/>
      <c r="D68" s="84"/>
      <c r="E68" s="84"/>
      <c r="F68" s="84"/>
    </row>
    <row r="69" spans="1:14" ht="15.75" thickBot="1" x14ac:dyDescent="0.3">
      <c r="A69" s="84"/>
      <c r="B69" s="84"/>
      <c r="C69" s="84"/>
      <c r="D69" s="84"/>
      <c r="E69" s="84"/>
      <c r="F69" s="84"/>
    </row>
    <row r="70" spans="1:14" x14ac:dyDescent="0.25">
      <c r="A70" s="84"/>
      <c r="B70" s="84"/>
      <c r="C70" s="84"/>
      <c r="D70" s="84"/>
      <c r="E70" s="84"/>
      <c r="F70" s="84"/>
      <c r="G70" s="160" t="s">
        <v>134</v>
      </c>
      <c r="H70" s="13"/>
      <c r="I70" s="13"/>
      <c r="J70" s="13"/>
      <c r="K70" s="13"/>
      <c r="L70" s="13"/>
      <c r="M70" s="150">
        <f>+N71</f>
        <v>100000000</v>
      </c>
      <c r="N70" s="151"/>
    </row>
    <row r="71" spans="1:14" ht="15.75" thickBot="1" x14ac:dyDescent="0.3">
      <c r="A71" s="84"/>
      <c r="B71" s="84"/>
      <c r="C71" s="84"/>
      <c r="D71" s="84"/>
      <c r="E71" s="84"/>
      <c r="F71" s="84"/>
      <c r="G71" s="122" t="s">
        <v>133</v>
      </c>
      <c r="H71" s="18"/>
      <c r="I71" s="18"/>
      <c r="J71" s="18"/>
      <c r="K71" s="18"/>
      <c r="L71" s="18"/>
      <c r="M71" s="152"/>
      <c r="N71" s="153">
        <f>+J67+L67+N67</f>
        <v>100000000</v>
      </c>
    </row>
    <row r="72" spans="1:14" x14ac:dyDescent="0.25">
      <c r="A72" s="84"/>
      <c r="B72" s="84"/>
      <c r="C72" s="84"/>
      <c r="D72" s="84"/>
      <c r="E72" s="84"/>
      <c r="F72" s="84"/>
    </row>
    <row r="73" spans="1:14" x14ac:dyDescent="0.25">
      <c r="A73" s="84"/>
      <c r="B73" s="84"/>
      <c r="C73" s="84"/>
      <c r="D73" s="84"/>
      <c r="E73" s="84"/>
      <c r="F73" s="84"/>
    </row>
    <row r="74" spans="1:14" ht="15.75" thickBot="1" x14ac:dyDescent="0.3">
      <c r="A74" s="84"/>
      <c r="B74" s="84"/>
      <c r="C74" s="84"/>
      <c r="D74" s="84"/>
      <c r="E74" s="84"/>
      <c r="F74" s="84"/>
    </row>
    <row r="75" spans="1:14" x14ac:dyDescent="0.25">
      <c r="A75" s="84"/>
      <c r="B75" s="84"/>
      <c r="C75" s="84"/>
      <c r="D75" s="84"/>
      <c r="E75" s="84"/>
      <c r="F75" s="84"/>
      <c r="G75" s="142" t="s">
        <v>136</v>
      </c>
      <c r="H75" s="143"/>
      <c r="I75" s="144">
        <f>+I76/(1-J75)</f>
        <v>117647058.82352942</v>
      </c>
      <c r="J75" s="145">
        <v>0.15</v>
      </c>
    </row>
    <row r="76" spans="1:14" x14ac:dyDescent="0.25">
      <c r="A76" s="84"/>
      <c r="B76" s="84"/>
      <c r="C76" s="84"/>
      <c r="D76" s="84"/>
      <c r="E76" s="84"/>
      <c r="F76" s="84"/>
      <c r="G76" s="146" t="s">
        <v>135</v>
      </c>
      <c r="H76" s="147"/>
      <c r="I76" s="148">
        <f>+J57</f>
        <v>100000000</v>
      </c>
      <c r="J76" s="149"/>
    </row>
    <row r="77" spans="1:14" ht="15.75" thickBot="1" x14ac:dyDescent="0.3">
      <c r="A77" s="84"/>
      <c r="B77" s="84"/>
      <c r="C77" s="84"/>
      <c r="D77" s="84"/>
      <c r="E77" s="84"/>
      <c r="F77" s="84"/>
      <c r="G77" s="17"/>
      <c r="H77" s="18"/>
      <c r="I77" s="138">
        <f>+I75-I76</f>
        <v>17647058.823529422</v>
      </c>
      <c r="J77" s="136"/>
    </row>
    <row r="78" spans="1:14" x14ac:dyDescent="0.25">
      <c r="A78" s="84"/>
      <c r="B78" s="84"/>
      <c r="C78" s="84"/>
      <c r="D78" s="84"/>
      <c r="E78" s="84"/>
      <c r="F78" s="84"/>
      <c r="I78" s="137">
        <f>I81/$I$76</f>
        <v>0.3</v>
      </c>
      <c r="K78" s="137">
        <f>K81/$I$76</f>
        <v>0.5</v>
      </c>
      <c r="M78" s="137">
        <f>M81/$I$76</f>
        <v>0.2</v>
      </c>
    </row>
    <row r="79" spans="1:14" x14ac:dyDescent="0.25">
      <c r="A79" s="84"/>
      <c r="B79" s="84"/>
      <c r="C79" s="84"/>
      <c r="D79" s="84"/>
      <c r="E79" s="84"/>
      <c r="F79" s="84"/>
      <c r="I79" s="135" t="s">
        <v>129</v>
      </c>
      <c r="J79" s="4"/>
      <c r="K79" s="135" t="s">
        <v>130</v>
      </c>
      <c r="L79" s="4"/>
      <c r="M79" s="4"/>
      <c r="N79" s="135" t="s">
        <v>131</v>
      </c>
    </row>
    <row r="80" spans="1:14" x14ac:dyDescent="0.25">
      <c r="A80" s="84"/>
      <c r="B80" s="84"/>
      <c r="C80" s="84"/>
      <c r="D80" s="84"/>
      <c r="E80" s="84"/>
      <c r="F80" s="84"/>
      <c r="I80" s="132" t="s">
        <v>37</v>
      </c>
      <c r="J80" s="132" t="s">
        <v>38</v>
      </c>
      <c r="K80" s="133" t="s">
        <v>37</v>
      </c>
      <c r="L80" s="133" t="s">
        <v>38</v>
      </c>
      <c r="M80" s="132" t="s">
        <v>37</v>
      </c>
      <c r="N80" s="132" t="s">
        <v>38</v>
      </c>
    </row>
    <row r="81" spans="1:18" x14ac:dyDescent="0.25">
      <c r="A81" s="84"/>
      <c r="B81" s="84"/>
      <c r="C81" s="84"/>
      <c r="D81" s="84"/>
      <c r="E81" s="84"/>
      <c r="F81" s="84"/>
      <c r="G81" t="s">
        <v>137</v>
      </c>
      <c r="I81" s="20">
        <f>+J67</f>
        <v>30000000</v>
      </c>
      <c r="K81" s="20">
        <f>+L67</f>
        <v>50000000</v>
      </c>
      <c r="M81" s="20">
        <f>+N67</f>
        <v>20000000</v>
      </c>
      <c r="O81" s="20"/>
    </row>
    <row r="82" spans="1:18" x14ac:dyDescent="0.25">
      <c r="A82" s="84"/>
      <c r="B82" s="84"/>
      <c r="C82" s="84"/>
      <c r="D82" s="84"/>
      <c r="E82" s="84"/>
      <c r="F82" s="84"/>
      <c r="G82" t="s">
        <v>138</v>
      </c>
      <c r="J82" s="20">
        <f>+$I$75*I78</f>
        <v>35294117.647058822</v>
      </c>
      <c r="L82" s="20">
        <f>+$I$75*K78</f>
        <v>58823529.411764711</v>
      </c>
      <c r="N82" s="20">
        <f>+$I$75*M78</f>
        <v>23529411.764705885</v>
      </c>
      <c r="O82" s="20"/>
    </row>
    <row r="83" spans="1:18" x14ac:dyDescent="0.25">
      <c r="A83" s="84"/>
      <c r="B83" s="84"/>
      <c r="C83" s="84"/>
      <c r="D83" s="84"/>
      <c r="E83" s="84"/>
      <c r="F83" s="84"/>
      <c r="G83" s="4" t="s">
        <v>134</v>
      </c>
      <c r="I83" s="20">
        <f>+J82-I81</f>
        <v>5294117.6470588222</v>
      </c>
      <c r="K83" s="20">
        <f>+L82-K81</f>
        <v>8823529.4117647111</v>
      </c>
      <c r="M83" s="20">
        <f>+N82-M81</f>
        <v>3529411.7647058852</v>
      </c>
      <c r="O83" s="20"/>
    </row>
    <row r="84" spans="1:18" ht="15.75" thickBot="1" x14ac:dyDescent="0.3">
      <c r="A84" s="84"/>
      <c r="B84" s="84"/>
      <c r="C84" s="84"/>
      <c r="D84" s="84"/>
      <c r="E84" s="84"/>
      <c r="F84" s="84"/>
    </row>
    <row r="85" spans="1:18" ht="15.75" thickBot="1" x14ac:dyDescent="0.3">
      <c r="A85" s="84"/>
      <c r="B85" s="84"/>
      <c r="C85" s="84"/>
      <c r="D85" s="84"/>
      <c r="E85" s="84"/>
      <c r="F85" s="84"/>
      <c r="G85" s="139" t="s">
        <v>134</v>
      </c>
      <c r="H85" s="140"/>
      <c r="I85" s="140"/>
      <c r="J85" s="140"/>
      <c r="K85" s="140"/>
      <c r="L85" s="140"/>
      <c r="M85" s="140"/>
      <c r="N85" s="141">
        <f>+M70+M83+K83+I83</f>
        <v>117647058.82352942</v>
      </c>
    </row>
    <row r="86" spans="1:18" x14ac:dyDescent="0.25">
      <c r="A86" s="84"/>
      <c r="B86" s="84"/>
      <c r="C86" s="84"/>
      <c r="D86" s="84"/>
      <c r="E86" s="84"/>
      <c r="F86" s="84"/>
    </row>
    <row r="87" spans="1:18" x14ac:dyDescent="0.25">
      <c r="A87" s="84"/>
      <c r="B87" s="84"/>
      <c r="C87" s="84"/>
      <c r="D87" s="84"/>
      <c r="E87" s="84"/>
      <c r="F87" s="84"/>
    </row>
    <row r="88" spans="1:18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90" spans="1:18" x14ac:dyDescent="0.25">
      <c r="H90" s="4"/>
      <c r="K90" s="161" t="s">
        <v>139</v>
      </c>
      <c r="L90" s="135" t="s">
        <v>140</v>
      </c>
      <c r="M90" s="135" t="s">
        <v>141</v>
      </c>
      <c r="N90" s="135" t="s">
        <v>142</v>
      </c>
    </row>
    <row r="91" spans="1:18" x14ac:dyDescent="0.25">
      <c r="K91" s="20"/>
    </row>
    <row r="92" spans="1:18" x14ac:dyDescent="0.25">
      <c r="I92" s="161" t="s">
        <v>139</v>
      </c>
      <c r="K92" s="20"/>
      <c r="O92" s="161" t="s">
        <v>140</v>
      </c>
      <c r="Q92" s="20"/>
    </row>
    <row r="93" spans="1:18" x14ac:dyDescent="0.25">
      <c r="I93" s="4" t="s">
        <v>143</v>
      </c>
      <c r="J93" s="4"/>
      <c r="K93" s="131">
        <v>1000000</v>
      </c>
      <c r="O93" s="4" t="s">
        <v>143</v>
      </c>
      <c r="P93" s="4"/>
      <c r="Q93" s="131">
        <v>1200000</v>
      </c>
    </row>
    <row r="94" spans="1:18" x14ac:dyDescent="0.25">
      <c r="H94" s="4"/>
      <c r="I94" s="4" t="s">
        <v>29</v>
      </c>
      <c r="J94" s="4"/>
      <c r="K94" s="4">
        <v>4</v>
      </c>
      <c r="O94" s="4" t="s">
        <v>29</v>
      </c>
      <c r="P94" s="4"/>
      <c r="Q94" s="4">
        <v>4</v>
      </c>
    </row>
    <row r="95" spans="1:18" x14ac:dyDescent="0.25">
      <c r="I95" s="4" t="s">
        <v>144</v>
      </c>
      <c r="J95" s="4"/>
      <c r="K95" s="154">
        <v>0.01</v>
      </c>
      <c r="O95" s="4" t="s">
        <v>144</v>
      </c>
      <c r="P95" s="4"/>
      <c r="Q95" s="154">
        <v>1.2999999999999999E-2</v>
      </c>
    </row>
    <row r="96" spans="1:18" x14ac:dyDescent="0.25">
      <c r="I96" s="4" t="s">
        <v>145</v>
      </c>
      <c r="K96" s="134">
        <f>K93*(1+K95)^K94</f>
        <v>1040604.01</v>
      </c>
      <c r="L96" s="23"/>
      <c r="O96" s="4" t="s">
        <v>145</v>
      </c>
      <c r="Q96" s="134">
        <f>Q93*(1+Q95)^Q94</f>
        <v>1263627.3798731999</v>
      </c>
      <c r="R96" s="23"/>
    </row>
    <row r="97" spans="9:19" x14ac:dyDescent="0.25">
      <c r="I97" s="4" t="s">
        <v>146</v>
      </c>
      <c r="J97" s="4"/>
      <c r="K97" s="154">
        <v>3.5000000000000001E-3</v>
      </c>
      <c r="O97" s="4" t="s">
        <v>146</v>
      </c>
      <c r="P97" s="4"/>
      <c r="Q97" s="154">
        <v>3.8999999999999998E-3</v>
      </c>
    </row>
    <row r="98" spans="9:19" x14ac:dyDescent="0.25">
      <c r="I98" s="4" t="s">
        <v>147</v>
      </c>
      <c r="K98" s="131">
        <f>K96/(1+K97)^4</f>
        <v>1026162.140968287</v>
      </c>
      <c r="O98" s="4" t="s">
        <v>147</v>
      </c>
      <c r="Q98" s="131">
        <f>Q96/(1+Q97)^4</f>
        <v>1244105.5014975774</v>
      </c>
    </row>
    <row r="99" spans="9:19" ht="15.75" thickBot="1" x14ac:dyDescent="0.3">
      <c r="K99" s="20"/>
      <c r="Q99" s="20"/>
    </row>
    <row r="100" spans="9:19" x14ac:dyDescent="0.25">
      <c r="I100" s="159" t="s">
        <v>35</v>
      </c>
      <c r="J100" s="143"/>
      <c r="K100" s="144">
        <f>+L101</f>
        <v>1026162.140968287</v>
      </c>
      <c r="L100" s="155"/>
      <c r="O100" s="159" t="s">
        <v>35</v>
      </c>
      <c r="P100" s="143"/>
      <c r="Q100" s="144">
        <f>+R101</f>
        <v>1244105.5014975774</v>
      </c>
      <c r="R100" s="155"/>
    </row>
    <row r="101" spans="9:19" ht="15.75" thickBot="1" x14ac:dyDescent="0.3">
      <c r="I101" s="156" t="s">
        <v>50</v>
      </c>
      <c r="J101" s="157"/>
      <c r="K101" s="157"/>
      <c r="L101" s="158">
        <f>+K98</f>
        <v>1026162.140968287</v>
      </c>
      <c r="O101" s="156" t="s">
        <v>50</v>
      </c>
      <c r="P101" s="157"/>
      <c r="Q101" s="157"/>
      <c r="R101" s="158">
        <f>+Q98</f>
        <v>1244105.5014975774</v>
      </c>
    </row>
    <row r="103" spans="9:19" x14ac:dyDescent="0.25">
      <c r="I103">
        <v>1</v>
      </c>
      <c r="J103" s="20">
        <f>+L101</f>
        <v>1026162.140968287</v>
      </c>
      <c r="K103" s="131">
        <f>+J103*K97</f>
        <v>3591.5674933890045</v>
      </c>
      <c r="L103">
        <v>0</v>
      </c>
      <c r="M103" s="131">
        <f>+J103+K103+L103</f>
        <v>1029753.708461676</v>
      </c>
      <c r="O103">
        <v>1</v>
      </c>
      <c r="P103" s="20">
        <f>+R101</f>
        <v>1244105.5014975774</v>
      </c>
      <c r="Q103" s="131">
        <f>+P103*Q97</f>
        <v>4852.0114558405521</v>
      </c>
      <c r="R103">
        <v>0</v>
      </c>
      <c r="S103" s="131">
        <f>+P103+Q103+R103</f>
        <v>1248957.5129534181</v>
      </c>
    </row>
    <row r="104" spans="9:19" x14ac:dyDescent="0.25">
      <c r="I104">
        <f>+I103+1</f>
        <v>2</v>
      </c>
      <c r="J104" s="20">
        <f>+M103</f>
        <v>1029753.708461676</v>
      </c>
      <c r="K104" s="131">
        <f>+J104*K97</f>
        <v>3604.1379796158662</v>
      </c>
      <c r="L104">
        <v>0</v>
      </c>
      <c r="M104" s="131">
        <f>+J104+K104+L104</f>
        <v>1033357.8464412919</v>
      </c>
      <c r="O104">
        <f>+O103+1</f>
        <v>2</v>
      </c>
      <c r="P104" s="20">
        <f>+S103</f>
        <v>1248957.5129534181</v>
      </c>
      <c r="Q104" s="131">
        <f>+P104*Q97</f>
        <v>4870.93430051833</v>
      </c>
      <c r="R104">
        <v>0</v>
      </c>
      <c r="S104" s="131">
        <f>+P104+Q104+R104</f>
        <v>1253828.4472539364</v>
      </c>
    </row>
    <row r="105" spans="9:19" x14ac:dyDescent="0.25">
      <c r="I105">
        <f>+I104+1</f>
        <v>3</v>
      </c>
      <c r="J105" s="20">
        <f>+M104</f>
        <v>1033357.8464412919</v>
      </c>
      <c r="K105" s="131">
        <f>+J105*K97</f>
        <v>3616.7524625445217</v>
      </c>
      <c r="L105">
        <v>0</v>
      </c>
      <c r="M105" s="131">
        <f>+J105+K105+L105</f>
        <v>1036974.5989038363</v>
      </c>
      <c r="O105">
        <f>+O104+1</f>
        <v>3</v>
      </c>
      <c r="P105" s="20">
        <f>+S104</f>
        <v>1253828.4472539364</v>
      </c>
      <c r="Q105" s="131">
        <f>+P105*Q97</f>
        <v>4889.9309442903523</v>
      </c>
      <c r="R105">
        <v>0</v>
      </c>
      <c r="S105" s="131">
        <f>+P105+Q105+R105</f>
        <v>1258718.3781982267</v>
      </c>
    </row>
    <row r="106" spans="9:19" x14ac:dyDescent="0.25">
      <c r="I106">
        <f>+I105+1</f>
        <v>4</v>
      </c>
      <c r="J106" s="20">
        <f>+M105</f>
        <v>1036974.5989038363</v>
      </c>
      <c r="K106" s="131">
        <f>+J106*K97</f>
        <v>3629.4110961634274</v>
      </c>
      <c r="L106" s="20">
        <f>-K96</f>
        <v>-1040604.01</v>
      </c>
      <c r="M106" s="134">
        <f>+J106+K106+L106</f>
        <v>0</v>
      </c>
      <c r="O106">
        <f>+O105+1</f>
        <v>4</v>
      </c>
      <c r="P106" s="20">
        <f>+S105</f>
        <v>1258718.3781982267</v>
      </c>
      <c r="Q106" s="131">
        <f>+P106*Q97</f>
        <v>4909.0016749730839</v>
      </c>
      <c r="R106" s="20">
        <f>-Q96</f>
        <v>-1263627.3798731999</v>
      </c>
      <c r="S106" s="134">
        <f>+P106+Q106+R106</f>
        <v>0</v>
      </c>
    </row>
    <row r="108" spans="9:19" x14ac:dyDescent="0.25">
      <c r="J108" t="s">
        <v>148</v>
      </c>
      <c r="K108" t="s">
        <v>149</v>
      </c>
      <c r="L108" t="s">
        <v>150</v>
      </c>
      <c r="P108" t="s">
        <v>148</v>
      </c>
      <c r="Q108" t="s">
        <v>149</v>
      </c>
      <c r="R108" t="s">
        <v>150</v>
      </c>
    </row>
    <row r="109" spans="9:19" x14ac:dyDescent="0.25">
      <c r="I109">
        <v>1</v>
      </c>
      <c r="J109" s="131">
        <f>+K103</f>
        <v>3591.5674933890045</v>
      </c>
      <c r="K109" s="131">
        <f>+K100/4</f>
        <v>256540.53524207175</v>
      </c>
      <c r="L109" s="131">
        <f>+J109+K109</f>
        <v>260132.10273546076</v>
      </c>
      <c r="O109">
        <v>1</v>
      </c>
      <c r="P109" s="131">
        <f>+Q103</f>
        <v>4852.0114558405521</v>
      </c>
      <c r="Q109" s="131">
        <f>+Q100/4</f>
        <v>311026.37537439435</v>
      </c>
      <c r="R109" s="131">
        <f>+P109+Q109</f>
        <v>315878.3868302349</v>
      </c>
    </row>
    <row r="110" spans="9:19" x14ac:dyDescent="0.25">
      <c r="I110">
        <f>+I109+1</f>
        <v>2</v>
      </c>
      <c r="J110" s="131">
        <f>+K104</f>
        <v>3604.1379796158662</v>
      </c>
      <c r="K110" s="131">
        <f>+K109</f>
        <v>256540.53524207175</v>
      </c>
      <c r="L110" s="131">
        <f>+J110+K110</f>
        <v>260144.67322168761</v>
      </c>
      <c r="O110">
        <f>+O109+1</f>
        <v>2</v>
      </c>
      <c r="P110" s="131">
        <f>+Q104</f>
        <v>4870.93430051833</v>
      </c>
      <c r="Q110" s="131">
        <f>+Q109</f>
        <v>311026.37537439435</v>
      </c>
      <c r="R110" s="131">
        <f>+P110+Q110</f>
        <v>315897.30967491266</v>
      </c>
    </row>
    <row r="111" spans="9:19" x14ac:dyDescent="0.25">
      <c r="I111">
        <f>+I110+1</f>
        <v>3</v>
      </c>
      <c r="J111" s="131">
        <f>+K105</f>
        <v>3616.7524625445217</v>
      </c>
      <c r="K111" s="131">
        <f>+K110</f>
        <v>256540.53524207175</v>
      </c>
      <c r="L111" s="131">
        <f>+J111+K111</f>
        <v>260157.28770461626</v>
      </c>
      <c r="O111">
        <f>+O110+1</f>
        <v>3</v>
      </c>
      <c r="P111" s="131">
        <f>+Q105</f>
        <v>4889.9309442903523</v>
      </c>
      <c r="Q111" s="131">
        <f>+Q110</f>
        <v>311026.37537439435</v>
      </c>
      <c r="R111" s="131">
        <f>+P111+Q111</f>
        <v>315916.30631868471</v>
      </c>
    </row>
    <row r="112" spans="9:19" x14ac:dyDescent="0.25">
      <c r="I112">
        <f>+I111+1</f>
        <v>4</v>
      </c>
      <c r="J112" s="131">
        <f>+K106</f>
        <v>3629.4110961634274</v>
      </c>
      <c r="K112" s="131">
        <f>+K111</f>
        <v>256540.53524207175</v>
      </c>
      <c r="L112" s="131">
        <f>+J112+K112</f>
        <v>260169.94633823517</v>
      </c>
      <c r="O112">
        <f>+O111+1</f>
        <v>4</v>
      </c>
      <c r="P112" s="131">
        <f>+Q106</f>
        <v>4909.0016749730839</v>
      </c>
      <c r="Q112" s="131">
        <f>+Q111</f>
        <v>311026.37537439435</v>
      </c>
      <c r="R112" s="131">
        <f>+P112+Q112</f>
        <v>315935.37704936741</v>
      </c>
    </row>
    <row r="113" spans="1:18" x14ac:dyDescent="0.25">
      <c r="L113" s="134">
        <f>SUM(L109:L112)</f>
        <v>1040604.0099999998</v>
      </c>
      <c r="R113" s="134">
        <f>SUM(R109:R112)</f>
        <v>1263627.3798731996</v>
      </c>
    </row>
    <row r="117" spans="1:18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28" spans="1:18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</sheetData>
  <phoneticPr fontId="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389-8158-4110-84CC-23AA9A2BEE21}">
  <sheetPr>
    <tabColor theme="1"/>
  </sheetPr>
  <dimension ref="A1:D14"/>
  <sheetViews>
    <sheetView zoomScale="180" zoomScaleNormal="180" workbookViewId="0">
      <selection activeCell="E17" sqref="E17:K17"/>
    </sheetView>
  </sheetViews>
  <sheetFormatPr baseColWidth="10" defaultRowHeight="15" x14ac:dyDescent="0.25"/>
  <sheetData>
    <row r="1" spans="1:4" x14ac:dyDescent="0.25">
      <c r="A1" s="4" t="s">
        <v>309</v>
      </c>
    </row>
    <row r="3" spans="1:4" x14ac:dyDescent="0.25">
      <c r="A3" s="7" t="s">
        <v>305</v>
      </c>
      <c r="B3" s="7"/>
      <c r="C3" s="7"/>
      <c r="D3" s="7"/>
    </row>
    <row r="4" spans="1:4" x14ac:dyDescent="0.25">
      <c r="A4" s="84" t="s">
        <v>303</v>
      </c>
      <c r="B4" s="84"/>
      <c r="C4" s="290">
        <v>1900000</v>
      </c>
      <c r="D4" s="103"/>
    </row>
    <row r="5" spans="1:4" x14ac:dyDescent="0.25">
      <c r="A5" s="84" t="s">
        <v>22</v>
      </c>
      <c r="B5" s="84"/>
      <c r="C5" s="103"/>
      <c r="D5" s="290">
        <v>1000000</v>
      </c>
    </row>
    <row r="6" spans="1:4" x14ac:dyDescent="0.25">
      <c r="A6" s="84" t="s">
        <v>304</v>
      </c>
      <c r="B6" s="84"/>
      <c r="C6" s="103"/>
      <c r="D6" s="290">
        <f>+C4-D5</f>
        <v>900000</v>
      </c>
    </row>
    <row r="7" spans="1:4" x14ac:dyDescent="0.25">
      <c r="C7" s="100"/>
      <c r="D7" s="100"/>
    </row>
    <row r="8" spans="1:4" x14ac:dyDescent="0.25">
      <c r="A8" s="7" t="s">
        <v>306</v>
      </c>
      <c r="B8" s="7"/>
      <c r="C8" s="7"/>
      <c r="D8" s="7"/>
    </row>
    <row r="9" spans="1:4" x14ac:dyDescent="0.25">
      <c r="A9" s="84" t="s">
        <v>307</v>
      </c>
      <c r="B9" s="84"/>
      <c r="C9" s="290">
        <f>+D10</f>
        <v>1000000</v>
      </c>
      <c r="D9" s="103"/>
    </row>
    <row r="10" spans="1:4" x14ac:dyDescent="0.25">
      <c r="A10" s="84" t="s">
        <v>22</v>
      </c>
      <c r="B10" s="84"/>
      <c r="C10" s="103"/>
      <c r="D10" s="290">
        <v>1000000</v>
      </c>
    </row>
    <row r="12" spans="1:4" x14ac:dyDescent="0.25">
      <c r="A12" s="7" t="s">
        <v>308</v>
      </c>
      <c r="B12" s="7"/>
      <c r="C12" s="7"/>
      <c r="D12" s="7"/>
    </row>
    <row r="13" spans="1:4" x14ac:dyDescent="0.25">
      <c r="A13" s="84" t="s">
        <v>303</v>
      </c>
      <c r="B13" s="84"/>
      <c r="C13" s="290">
        <f>+D14</f>
        <v>1000000</v>
      </c>
      <c r="D13" s="103"/>
    </row>
    <row r="14" spans="1:4" x14ac:dyDescent="0.25">
      <c r="A14" s="84" t="s">
        <v>22</v>
      </c>
      <c r="B14" s="84"/>
      <c r="C14" s="103"/>
      <c r="D14" s="290">
        <v>1000000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8542-F1EC-4A83-885B-F50E0157C3A8}">
  <dimension ref="A1:S39"/>
  <sheetViews>
    <sheetView topLeftCell="A10" zoomScale="180" zoomScaleNormal="180" workbookViewId="0">
      <selection activeCell="E17" sqref="E17:K17"/>
    </sheetView>
  </sheetViews>
  <sheetFormatPr baseColWidth="10" defaultRowHeight="15" x14ac:dyDescent="0.25"/>
  <cols>
    <col min="1" max="1" width="12.7109375" style="162" customWidth="1"/>
    <col min="2" max="2" width="11.42578125" style="162" customWidth="1"/>
    <col min="3" max="3" width="4.7109375" style="162" customWidth="1"/>
    <col min="4" max="11" width="11.42578125" style="162" customWidth="1"/>
    <col min="12" max="12" width="3.42578125" style="162" customWidth="1"/>
    <col min="13" max="13" width="7.42578125" style="162" bestFit="1" customWidth="1"/>
    <col min="14" max="14" width="11.5703125" style="162" bestFit="1" customWidth="1"/>
    <col min="15" max="15" width="11.42578125" style="162"/>
    <col min="16" max="16" width="9.42578125" style="162" bestFit="1" customWidth="1"/>
    <col min="17" max="16384" width="11.42578125" style="162"/>
  </cols>
  <sheetData>
    <row r="1" spans="1:19" ht="15.75" thickBot="1" x14ac:dyDescent="0.3">
      <c r="A1" s="163" t="s">
        <v>151</v>
      </c>
      <c r="J1" s="323" t="s">
        <v>152</v>
      </c>
      <c r="K1" s="324">
        <v>0.3</v>
      </c>
    </row>
    <row r="2" spans="1:19" ht="15.75" thickBot="1" x14ac:dyDescent="0.3">
      <c r="A2" s="292" t="s">
        <v>166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M2" s="222"/>
      <c r="N2" s="185" t="s">
        <v>314</v>
      </c>
      <c r="O2" s="185"/>
      <c r="P2" s="185"/>
      <c r="Q2" s="185"/>
      <c r="R2" s="185"/>
      <c r="S2" s="186"/>
    </row>
    <row r="3" spans="1:19" ht="15.75" thickBot="1" x14ac:dyDescent="0.3">
      <c r="A3" s="292"/>
      <c r="B3" s="292"/>
      <c r="C3" s="292"/>
      <c r="D3" s="165" t="s">
        <v>57</v>
      </c>
      <c r="E3" s="165" t="s">
        <v>57</v>
      </c>
      <c r="F3" s="166" t="s">
        <v>58</v>
      </c>
      <c r="G3" s="166" t="s">
        <v>58</v>
      </c>
      <c r="H3" s="165" t="s">
        <v>59</v>
      </c>
      <c r="I3" s="165" t="s">
        <v>59</v>
      </c>
      <c r="J3" s="166" t="s">
        <v>60</v>
      </c>
      <c r="K3" s="166" t="s">
        <v>60</v>
      </c>
      <c r="M3" s="189"/>
      <c r="N3" s="226" t="s">
        <v>51</v>
      </c>
      <c r="O3" s="227" t="s">
        <v>172</v>
      </c>
      <c r="P3" s="227" t="s">
        <v>173</v>
      </c>
      <c r="Q3" s="227" t="s">
        <v>174</v>
      </c>
      <c r="R3" s="228" t="s">
        <v>82</v>
      </c>
      <c r="S3" s="221" t="s">
        <v>175</v>
      </c>
    </row>
    <row r="4" spans="1:19" x14ac:dyDescent="0.25">
      <c r="A4" s="291" t="s">
        <v>163</v>
      </c>
      <c r="B4" s="292"/>
      <c r="C4" s="292"/>
      <c r="D4" s="165" t="s">
        <v>37</v>
      </c>
      <c r="E4" s="165" t="s">
        <v>38</v>
      </c>
      <c r="F4" s="166" t="s">
        <v>37</v>
      </c>
      <c r="G4" s="166" t="s">
        <v>38</v>
      </c>
      <c r="H4" s="165" t="s">
        <v>37</v>
      </c>
      <c r="I4" s="165" t="s">
        <v>38</v>
      </c>
      <c r="J4" s="166" t="s">
        <v>37</v>
      </c>
      <c r="K4" s="166" t="s">
        <v>38</v>
      </c>
      <c r="M4" s="340" t="s">
        <v>57</v>
      </c>
      <c r="N4" s="341">
        <v>500000</v>
      </c>
      <c r="O4" s="24">
        <f>+-E7</f>
        <v>-100000</v>
      </c>
      <c r="P4" s="344">
        <f>+N4+O4</f>
        <v>400000</v>
      </c>
      <c r="Q4" s="331">
        <f>+N4</f>
        <v>500000</v>
      </c>
      <c r="R4" s="24">
        <f>+Q4-P4</f>
        <v>100000</v>
      </c>
      <c r="S4" s="229">
        <f>+R4*$K$1</f>
        <v>30000</v>
      </c>
    </row>
    <row r="5" spans="1:19" x14ac:dyDescent="0.25">
      <c r="A5" s="292" t="s">
        <v>153</v>
      </c>
      <c r="B5" s="292"/>
      <c r="C5" s="292"/>
      <c r="D5" s="293">
        <v>100000</v>
      </c>
      <c r="E5" s="292"/>
      <c r="F5" s="293">
        <v>90000</v>
      </c>
      <c r="G5" s="292"/>
      <c r="H5" s="293">
        <v>80000</v>
      </c>
      <c r="I5" s="292"/>
      <c r="J5" s="293">
        <v>50000</v>
      </c>
      <c r="K5" s="292"/>
      <c r="M5" s="340" t="s">
        <v>58</v>
      </c>
      <c r="N5" s="341">
        <v>520000</v>
      </c>
      <c r="O5" s="24">
        <f>-G7</f>
        <v>-190000</v>
      </c>
      <c r="P5" s="344">
        <f>+N5+O5</f>
        <v>330000</v>
      </c>
      <c r="Q5" s="331">
        <f>+N5</f>
        <v>520000</v>
      </c>
      <c r="R5" s="24">
        <f>+Q5-P5</f>
        <v>190000</v>
      </c>
      <c r="S5" s="217">
        <f>+R5*$K$1</f>
        <v>57000</v>
      </c>
    </row>
    <row r="6" spans="1:19" x14ac:dyDescent="0.25">
      <c r="A6" s="292" t="s">
        <v>154</v>
      </c>
      <c r="B6" s="292"/>
      <c r="C6" s="292"/>
      <c r="D6" s="292"/>
      <c r="E6" s="292">
        <f>+D5</f>
        <v>100000</v>
      </c>
      <c r="F6" s="292"/>
      <c r="G6" s="292">
        <f>+F5</f>
        <v>90000</v>
      </c>
      <c r="H6" s="292"/>
      <c r="I6" s="292">
        <f>+H5</f>
        <v>80000</v>
      </c>
      <c r="J6" s="292"/>
      <c r="K6" s="292">
        <f>+J5</f>
        <v>50000</v>
      </c>
      <c r="M6" s="340" t="s">
        <v>59</v>
      </c>
      <c r="N6" s="341">
        <v>540000</v>
      </c>
      <c r="O6" s="24">
        <f>-I7</f>
        <v>-270000</v>
      </c>
      <c r="P6" s="344">
        <f>+N6+O6</f>
        <v>270000</v>
      </c>
      <c r="Q6" s="331">
        <f>+N6</f>
        <v>540000</v>
      </c>
      <c r="R6" s="24">
        <f>+Q6-P6</f>
        <v>270000</v>
      </c>
      <c r="S6" s="217">
        <f>+R6*$K$1</f>
        <v>81000</v>
      </c>
    </row>
    <row r="7" spans="1:19" ht="15.75" thickBot="1" x14ac:dyDescent="0.3">
      <c r="A7" s="168" t="s">
        <v>154</v>
      </c>
      <c r="B7" s="169"/>
      <c r="C7" s="169" t="s">
        <v>155</v>
      </c>
      <c r="D7" s="169"/>
      <c r="E7" s="169">
        <f>+E6</f>
        <v>100000</v>
      </c>
      <c r="F7" s="169"/>
      <c r="G7" s="169">
        <f>+E7+G6</f>
        <v>190000</v>
      </c>
      <c r="H7" s="169"/>
      <c r="I7" s="169">
        <f>+G7+I6</f>
        <v>270000</v>
      </c>
      <c r="J7" s="169"/>
      <c r="K7" s="170">
        <f>+I7+K6</f>
        <v>320000</v>
      </c>
      <c r="M7" s="342" t="s">
        <v>60</v>
      </c>
      <c r="N7" s="343">
        <v>640000</v>
      </c>
      <c r="O7" s="225">
        <f>-K7</f>
        <v>-320000</v>
      </c>
      <c r="P7" s="336">
        <f>+N7+O7</f>
        <v>320000</v>
      </c>
      <c r="Q7" s="345">
        <f>+N7</f>
        <v>640000</v>
      </c>
      <c r="R7" s="225">
        <f>+Q7-P7</f>
        <v>320000</v>
      </c>
      <c r="S7" s="220">
        <f>+R7*$K$1</f>
        <v>96000</v>
      </c>
    </row>
    <row r="8" spans="1:19" ht="14.25" customHeight="1" thickBot="1" x14ac:dyDescent="0.3"/>
    <row r="9" spans="1:19" ht="15.75" thickBot="1" x14ac:dyDescent="0.3">
      <c r="A9" s="309" t="s">
        <v>158</v>
      </c>
      <c r="B9" s="310"/>
      <c r="C9" s="310"/>
      <c r="D9" s="310"/>
      <c r="E9" s="310"/>
      <c r="F9" s="310"/>
      <c r="G9" s="310"/>
      <c r="H9" s="310"/>
      <c r="I9" s="310"/>
      <c r="J9" s="310"/>
      <c r="K9" s="311"/>
      <c r="M9" s="230" t="s">
        <v>176</v>
      </c>
      <c r="N9" s="231"/>
      <c r="O9" s="232"/>
      <c r="R9" s="354" t="s">
        <v>315</v>
      </c>
      <c r="S9" s="186"/>
    </row>
    <row r="10" spans="1:19" ht="15.75" thickBot="1" x14ac:dyDescent="0.3">
      <c r="A10" s="312" t="s">
        <v>92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313"/>
      <c r="R10" s="355" t="s">
        <v>172</v>
      </c>
      <c r="S10" s="353" t="s">
        <v>175</v>
      </c>
    </row>
    <row r="11" spans="1:19" ht="15.75" thickBot="1" x14ac:dyDescent="0.3">
      <c r="A11" s="314" t="s">
        <v>156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315"/>
      <c r="M11" s="163"/>
      <c r="R11" s="189">
        <f>+E7</f>
        <v>100000</v>
      </c>
      <c r="S11" s="229">
        <f>+R11*$K$1</f>
        <v>30000</v>
      </c>
    </row>
    <row r="12" spans="1:19" ht="15.75" thickBot="1" x14ac:dyDescent="0.3">
      <c r="A12" s="314" t="s">
        <v>157</v>
      </c>
      <c r="B12" s="181"/>
      <c r="C12" s="181"/>
      <c r="D12" s="181"/>
      <c r="E12" s="181"/>
      <c r="F12" s="181"/>
      <c r="G12" s="181"/>
      <c r="H12" s="181"/>
      <c r="I12" s="181"/>
      <c r="J12" s="181"/>
      <c r="K12" s="315"/>
      <c r="R12" s="189">
        <f>+G7</f>
        <v>190000</v>
      </c>
      <c r="S12" s="229">
        <f>+R12*$K$1</f>
        <v>57000</v>
      </c>
    </row>
    <row r="13" spans="1:19" ht="15.75" thickBot="1" x14ac:dyDescent="0.3">
      <c r="A13" s="314" t="s">
        <v>94</v>
      </c>
      <c r="B13" s="181"/>
      <c r="C13" s="181"/>
      <c r="D13" s="181"/>
      <c r="E13" s="181"/>
      <c r="F13" s="181"/>
      <c r="G13" s="181"/>
      <c r="H13" s="181"/>
      <c r="I13" s="181"/>
      <c r="J13" s="181"/>
      <c r="K13" s="315"/>
      <c r="R13" s="189">
        <f>+I7</f>
        <v>270000</v>
      </c>
      <c r="S13" s="229">
        <f>+R13*$K$1</f>
        <v>81000</v>
      </c>
    </row>
    <row r="14" spans="1:19" ht="15.75" thickBot="1" x14ac:dyDescent="0.3">
      <c r="A14" s="314" t="s">
        <v>94</v>
      </c>
      <c r="B14" s="181"/>
      <c r="C14" s="181"/>
      <c r="D14" s="181"/>
      <c r="E14" s="181"/>
      <c r="F14" s="181"/>
      <c r="G14" s="181"/>
      <c r="H14" s="181"/>
      <c r="I14" s="181"/>
      <c r="J14" s="181"/>
      <c r="K14" s="315"/>
      <c r="R14" s="224">
        <f>+K7</f>
        <v>320000</v>
      </c>
      <c r="S14" s="352">
        <f>+R14*$K$1</f>
        <v>96000</v>
      </c>
    </row>
    <row r="15" spans="1:19" s="163" customFormat="1" x14ac:dyDescent="0.25">
      <c r="A15" s="304" t="s">
        <v>95</v>
      </c>
      <c r="B15" s="294"/>
      <c r="C15" s="294"/>
      <c r="D15" s="294"/>
      <c r="E15" s="294">
        <v>1200000</v>
      </c>
      <c r="F15" s="294"/>
      <c r="G15" s="294">
        <v>1300000</v>
      </c>
      <c r="H15" s="294"/>
      <c r="I15" s="294">
        <v>1500000</v>
      </c>
      <c r="J15" s="294"/>
      <c r="K15" s="305">
        <v>2000000</v>
      </c>
    </row>
    <row r="16" spans="1:19" x14ac:dyDescent="0.25">
      <c r="A16" s="316" t="s">
        <v>159</v>
      </c>
      <c r="B16" s="172"/>
      <c r="C16" s="172"/>
      <c r="D16" s="172"/>
      <c r="E16" s="172">
        <f>-D33</f>
        <v>-390000</v>
      </c>
      <c r="F16" s="172"/>
      <c r="G16" s="172">
        <f>-F33</f>
        <v>-417000</v>
      </c>
      <c r="H16" s="172"/>
      <c r="I16" s="172">
        <f>-H33</f>
        <v>-474000</v>
      </c>
      <c r="J16" s="172"/>
      <c r="K16" s="317">
        <f>-J33</f>
        <v>-615000</v>
      </c>
      <c r="M16" s="163" t="s">
        <v>120</v>
      </c>
    </row>
    <row r="17" spans="1:17" x14ac:dyDescent="0.25">
      <c r="A17" s="318" t="s">
        <v>310</v>
      </c>
      <c r="B17" s="175"/>
      <c r="C17" s="175"/>
      <c r="D17" s="175"/>
      <c r="E17" s="175">
        <f>+E37</f>
        <v>30000</v>
      </c>
      <c r="F17" s="175"/>
      <c r="G17" s="175">
        <f>+G37</f>
        <v>27000</v>
      </c>
      <c r="H17" s="175"/>
      <c r="I17" s="175">
        <f>+I37</f>
        <v>24000</v>
      </c>
      <c r="J17" s="175"/>
      <c r="K17" s="319">
        <f>+K37</f>
        <v>15000</v>
      </c>
      <c r="M17" s="162" t="s">
        <v>316</v>
      </c>
      <c r="Q17" s="351" t="s">
        <v>319</v>
      </c>
    </row>
    <row r="18" spans="1:17" s="163" customFormat="1" ht="15.75" thickBot="1" x14ac:dyDescent="0.3">
      <c r="A18" s="320" t="s">
        <v>99</v>
      </c>
      <c r="B18" s="321"/>
      <c r="C18" s="321"/>
      <c r="D18" s="321"/>
      <c r="E18" s="321">
        <f>SUM(E15:E17)</f>
        <v>840000</v>
      </c>
      <c r="F18" s="321"/>
      <c r="G18" s="321">
        <f>SUM(G15:G17)</f>
        <v>910000</v>
      </c>
      <c r="H18" s="321"/>
      <c r="I18" s="321">
        <f>SUM(I15:I17)</f>
        <v>1050000</v>
      </c>
      <c r="J18" s="321"/>
      <c r="K18" s="322">
        <f>SUM(K15:K17)</f>
        <v>1400000</v>
      </c>
      <c r="M18" s="162" t="s">
        <v>317</v>
      </c>
      <c r="Q18" s="351" t="s">
        <v>320</v>
      </c>
    </row>
    <row r="19" spans="1:17" s="163" customFormat="1" ht="15.75" thickBot="1" x14ac:dyDescent="0.3">
      <c r="M19" s="162" t="s">
        <v>318</v>
      </c>
      <c r="Q19" s="351" t="s">
        <v>321</v>
      </c>
    </row>
    <row r="20" spans="1:17" x14ac:dyDescent="0.25">
      <c r="A20" s="325" t="s">
        <v>164</v>
      </c>
      <c r="B20" s="326"/>
      <c r="C20" s="326"/>
      <c r="D20" s="326"/>
      <c r="E20" s="327">
        <v>0.7</v>
      </c>
      <c r="F20" s="328"/>
      <c r="G20" s="327">
        <v>0.7</v>
      </c>
      <c r="H20" s="328"/>
      <c r="I20" s="327">
        <v>0.7</v>
      </c>
      <c r="J20" s="328"/>
      <c r="K20" s="329">
        <v>0.7</v>
      </c>
    </row>
    <row r="21" spans="1:17" x14ac:dyDescent="0.25">
      <c r="A21" s="330" t="s">
        <v>164</v>
      </c>
      <c r="B21" s="331"/>
      <c r="C21" s="331"/>
      <c r="D21" s="331"/>
      <c r="E21" s="332">
        <f>+E18/E15</f>
        <v>0.7</v>
      </c>
      <c r="F21" s="333"/>
      <c r="G21" s="332">
        <f>+G18/G15</f>
        <v>0.7</v>
      </c>
      <c r="H21" s="333"/>
      <c r="I21" s="332">
        <f>+I18/I15</f>
        <v>0.7</v>
      </c>
      <c r="J21" s="333"/>
      <c r="K21" s="334">
        <f>+K18/K15</f>
        <v>0.7</v>
      </c>
    </row>
    <row r="22" spans="1:17" ht="15.75" thickBot="1" x14ac:dyDescent="0.3">
      <c r="A22" s="335" t="s">
        <v>312</v>
      </c>
      <c r="B22" s="336"/>
      <c r="C22" s="336"/>
      <c r="D22" s="336"/>
      <c r="E22" s="337">
        <f>-(E16+E17)/E15</f>
        <v>0.3</v>
      </c>
      <c r="F22" s="338"/>
      <c r="G22" s="337">
        <f>-(G16+G17)/G15</f>
        <v>0.3</v>
      </c>
      <c r="H22" s="338"/>
      <c r="I22" s="337">
        <f>-(I16+I17)/I15</f>
        <v>0.3</v>
      </c>
      <c r="J22" s="338"/>
      <c r="K22" s="339">
        <f>-(K16+K17)/K15</f>
        <v>0.3</v>
      </c>
    </row>
    <row r="23" spans="1:17" ht="15.75" thickBot="1" x14ac:dyDescent="0.3"/>
    <row r="24" spans="1:17" x14ac:dyDescent="0.25">
      <c r="A24" s="295" t="s">
        <v>160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7" x14ac:dyDescent="0.25">
      <c r="A25" s="306" t="s">
        <v>95</v>
      </c>
      <c r="B25" s="307"/>
      <c r="C25" s="307"/>
      <c r="D25" s="307"/>
      <c r="E25" s="307">
        <f>+E15</f>
        <v>1200000</v>
      </c>
      <c r="F25" s="307"/>
      <c r="G25" s="307">
        <f>+G15</f>
        <v>1300000</v>
      </c>
      <c r="H25" s="307"/>
      <c r="I25" s="307">
        <f>+I15</f>
        <v>1500000</v>
      </c>
      <c r="J25" s="307"/>
      <c r="K25" s="308">
        <f>+K15</f>
        <v>2000000</v>
      </c>
    </row>
    <row r="26" spans="1:17" x14ac:dyDescent="0.25">
      <c r="A26" s="298" t="s">
        <v>313</v>
      </c>
      <c r="B26" s="299"/>
      <c r="C26" s="299"/>
      <c r="D26" s="299"/>
      <c r="E26" s="299">
        <f>+D5</f>
        <v>100000</v>
      </c>
      <c r="F26" s="299"/>
      <c r="G26" s="299">
        <f>+F5</f>
        <v>90000</v>
      </c>
      <c r="H26" s="299"/>
      <c r="I26" s="299">
        <f>+H5</f>
        <v>80000</v>
      </c>
      <c r="J26" s="299"/>
      <c r="K26" s="300">
        <f>+J5</f>
        <v>50000</v>
      </c>
    </row>
    <row r="27" spans="1:17" x14ac:dyDescent="0.25">
      <c r="A27" s="301" t="s">
        <v>162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3"/>
    </row>
    <row r="28" spans="1:17" s="163" customFormat="1" x14ac:dyDescent="0.25">
      <c r="A28" s="306" t="s">
        <v>78</v>
      </c>
      <c r="B28" s="307"/>
      <c r="C28" s="307"/>
      <c r="D28" s="307"/>
      <c r="E28" s="307">
        <f>SUM(E25:E27)</f>
        <v>1300000</v>
      </c>
      <c r="F28" s="307"/>
      <c r="G28" s="307">
        <f t="shared" ref="G28:K28" si="0">SUM(G25:G27)</f>
        <v>1390000</v>
      </c>
      <c r="H28" s="307"/>
      <c r="I28" s="307">
        <f t="shared" si="0"/>
        <v>1580000</v>
      </c>
      <c r="J28" s="307"/>
      <c r="K28" s="308">
        <f t="shared" si="0"/>
        <v>2050000</v>
      </c>
    </row>
    <row r="29" spans="1:17" s="163" customFormat="1" ht="15.75" thickBot="1" x14ac:dyDescent="0.3">
      <c r="A29" s="200" t="s">
        <v>159</v>
      </c>
      <c r="B29" s="201"/>
      <c r="C29" s="201"/>
      <c r="D29" s="201"/>
      <c r="E29" s="201">
        <f>-+E28*$K$1</f>
        <v>-390000</v>
      </c>
      <c r="F29" s="201"/>
      <c r="G29" s="201">
        <f>-+G28*$K$1</f>
        <v>-417000</v>
      </c>
      <c r="H29" s="201"/>
      <c r="I29" s="201">
        <f>-+I28*$K$1</f>
        <v>-474000</v>
      </c>
      <c r="J29" s="201"/>
      <c r="K29" s="202">
        <f>-+K28*$K$1</f>
        <v>-615000</v>
      </c>
    </row>
    <row r="30" spans="1:17" ht="15.75" thickBot="1" x14ac:dyDescent="0.3">
      <c r="A30" s="212" t="s">
        <v>169</v>
      </c>
      <c r="B30" s="213"/>
      <c r="C30" s="213"/>
      <c r="D30" s="213"/>
      <c r="E30" s="213">
        <f>+E26*$K$1</f>
        <v>30000</v>
      </c>
      <c r="F30" s="213"/>
      <c r="G30" s="213">
        <f>+G26*$K$1</f>
        <v>27000</v>
      </c>
      <c r="H30" s="213"/>
      <c r="I30" s="213">
        <f>+I26*$K$1</f>
        <v>24000</v>
      </c>
      <c r="J30" s="213"/>
      <c r="K30" s="214">
        <f>+K26*$K$1</f>
        <v>15000</v>
      </c>
    </row>
    <row r="31" spans="1:17" ht="15.75" thickBot="1" x14ac:dyDescent="0.3">
      <c r="A31" s="215" t="s">
        <v>170</v>
      </c>
      <c r="B31" s="216"/>
      <c r="C31" s="216"/>
      <c r="D31" s="216"/>
      <c r="E31" s="218">
        <f>+E17</f>
        <v>30000</v>
      </c>
      <c r="F31" s="216"/>
      <c r="G31" s="218">
        <f>+E31+G17</f>
        <v>57000</v>
      </c>
      <c r="H31" s="216"/>
      <c r="I31" s="218">
        <f>+G31+I17</f>
        <v>81000</v>
      </c>
      <c r="J31" s="216"/>
      <c r="K31" s="219">
        <f>+I31+K17</f>
        <v>96000</v>
      </c>
    </row>
    <row r="33" spans="1:11" x14ac:dyDescent="0.25">
      <c r="A33" s="171" t="s">
        <v>311</v>
      </c>
      <c r="B33" s="172"/>
      <c r="C33" s="173"/>
      <c r="D33" s="171">
        <f>+-E29</f>
        <v>390000</v>
      </c>
      <c r="E33" s="173"/>
      <c r="F33" s="171">
        <f>+-G29</f>
        <v>417000</v>
      </c>
      <c r="G33" s="173"/>
      <c r="H33" s="171">
        <f>+-I29</f>
        <v>474000</v>
      </c>
      <c r="I33" s="173"/>
      <c r="J33" s="171">
        <f>+-K29</f>
        <v>615000</v>
      </c>
      <c r="K33" s="173"/>
    </row>
    <row r="34" spans="1:11" x14ac:dyDescent="0.25">
      <c r="A34" s="174" t="s">
        <v>181</v>
      </c>
      <c r="B34" s="175"/>
      <c r="C34" s="176"/>
      <c r="D34" s="174"/>
      <c r="E34" s="176">
        <f>+D33</f>
        <v>390000</v>
      </c>
      <c r="F34" s="174"/>
      <c r="G34" s="176">
        <f>+F33</f>
        <v>417000</v>
      </c>
      <c r="H34" s="174"/>
      <c r="I34" s="176">
        <f>+H33</f>
        <v>474000</v>
      </c>
      <c r="J34" s="174"/>
      <c r="K34" s="176">
        <f>+J33</f>
        <v>615000</v>
      </c>
    </row>
    <row r="36" spans="1:11" x14ac:dyDescent="0.25">
      <c r="A36" s="171" t="s">
        <v>72</v>
      </c>
      <c r="B36" s="172"/>
      <c r="C36" s="173"/>
      <c r="D36" s="171">
        <f>+E30</f>
        <v>30000</v>
      </c>
      <c r="E36" s="173"/>
      <c r="F36" s="171">
        <f>+G30</f>
        <v>27000</v>
      </c>
      <c r="G36" s="173"/>
      <c r="H36" s="171">
        <f>+I30</f>
        <v>24000</v>
      </c>
      <c r="I36" s="173"/>
      <c r="J36" s="171">
        <f>+K30</f>
        <v>15000</v>
      </c>
      <c r="K36" s="173"/>
    </row>
    <row r="37" spans="1:11" x14ac:dyDescent="0.25">
      <c r="A37" s="174" t="s">
        <v>84</v>
      </c>
      <c r="B37" s="175"/>
      <c r="C37" s="176"/>
      <c r="D37" s="174"/>
      <c r="E37" s="176">
        <f>+D36</f>
        <v>30000</v>
      </c>
      <c r="F37" s="174"/>
      <c r="G37" s="176">
        <f>+F36</f>
        <v>27000</v>
      </c>
      <c r="H37" s="174"/>
      <c r="I37" s="176">
        <f>+H36</f>
        <v>24000</v>
      </c>
      <c r="J37" s="174"/>
      <c r="K37" s="176">
        <f>+J36</f>
        <v>15000</v>
      </c>
    </row>
    <row r="38" spans="1:11" ht="15.75" thickBot="1" x14ac:dyDescent="0.3"/>
    <row r="39" spans="1:11" ht="15.75" thickBot="1" x14ac:dyDescent="0.3">
      <c r="A39" s="346" t="s">
        <v>72</v>
      </c>
      <c r="B39" s="347"/>
      <c r="C39" s="348"/>
      <c r="D39" s="349">
        <f>+D36</f>
        <v>30000</v>
      </c>
      <c r="E39" s="348"/>
      <c r="F39" s="349">
        <f>+D39+F36</f>
        <v>57000</v>
      </c>
      <c r="G39" s="348"/>
      <c r="H39" s="349">
        <f>+F39+H36</f>
        <v>81000</v>
      </c>
      <c r="I39" s="348"/>
      <c r="J39" s="349">
        <f>+H39+J36</f>
        <v>96000</v>
      </c>
      <c r="K39" s="350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7F54-3798-4874-87B9-35D950FB1A28}">
  <dimension ref="A1:S36"/>
  <sheetViews>
    <sheetView topLeftCell="A25" zoomScale="160" zoomScaleNormal="160" workbookViewId="0">
      <selection activeCell="E17" sqref="E17:K17"/>
    </sheetView>
  </sheetViews>
  <sheetFormatPr baseColWidth="10" defaultRowHeight="15" x14ac:dyDescent="0.25"/>
  <cols>
    <col min="1" max="1" width="12.7109375" style="162" customWidth="1"/>
    <col min="2" max="2" width="11.42578125" style="162" customWidth="1"/>
    <col min="3" max="3" width="7.5703125" style="162" customWidth="1"/>
    <col min="4" max="11" width="11.42578125" style="162" customWidth="1"/>
    <col min="12" max="12" width="3" style="162" customWidth="1"/>
    <col min="13" max="13" width="10.7109375" style="162" bestFit="1" customWidth="1"/>
    <col min="14" max="14" width="11.5703125" style="162" bestFit="1" customWidth="1"/>
    <col min="15" max="15" width="11.42578125" style="162"/>
    <col min="16" max="16" width="9.42578125" style="162" bestFit="1" customWidth="1"/>
    <col min="17" max="16384" width="11.42578125" style="162"/>
  </cols>
  <sheetData>
    <row r="1" spans="1:19" ht="15.75" thickBot="1" x14ac:dyDescent="0.3">
      <c r="A1" s="163" t="s">
        <v>151</v>
      </c>
      <c r="J1" s="359" t="s">
        <v>152</v>
      </c>
      <c r="K1" s="360">
        <v>0.3</v>
      </c>
    </row>
    <row r="2" spans="1:19" ht="15.75" thickBot="1" x14ac:dyDescent="0.3">
      <c r="A2" s="167" t="s">
        <v>166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M2" s="222"/>
      <c r="N2" s="185" t="s">
        <v>171</v>
      </c>
      <c r="O2" s="185"/>
      <c r="P2" s="185"/>
      <c r="Q2" s="185"/>
      <c r="R2" s="185"/>
      <c r="S2" s="186"/>
    </row>
    <row r="3" spans="1:19" ht="15.75" thickBot="1" x14ac:dyDescent="0.3">
      <c r="D3" s="165" t="s">
        <v>57</v>
      </c>
      <c r="E3" s="165" t="s">
        <v>57</v>
      </c>
      <c r="F3" s="166" t="s">
        <v>58</v>
      </c>
      <c r="G3" s="166" t="s">
        <v>58</v>
      </c>
      <c r="H3" s="165" t="s">
        <v>59</v>
      </c>
      <c r="I3" s="165" t="s">
        <v>59</v>
      </c>
      <c r="J3" s="166" t="s">
        <v>60</v>
      </c>
      <c r="K3" s="166" t="s">
        <v>60</v>
      </c>
      <c r="M3" s="189"/>
      <c r="N3" s="226" t="s">
        <v>51</v>
      </c>
      <c r="O3" s="227" t="s">
        <v>172</v>
      </c>
      <c r="P3" s="227" t="s">
        <v>173</v>
      </c>
      <c r="Q3" s="227" t="s">
        <v>174</v>
      </c>
      <c r="R3" s="228" t="s">
        <v>82</v>
      </c>
      <c r="S3" s="221" t="s">
        <v>175</v>
      </c>
    </row>
    <row r="4" spans="1:19" x14ac:dyDescent="0.25">
      <c r="A4" s="163" t="s">
        <v>163</v>
      </c>
      <c r="D4" s="165" t="s">
        <v>37</v>
      </c>
      <c r="E4" s="165" t="s">
        <v>38</v>
      </c>
      <c r="F4" s="166" t="s">
        <v>37</v>
      </c>
      <c r="G4" s="166" t="s">
        <v>38</v>
      </c>
      <c r="H4" s="165" t="s">
        <v>37</v>
      </c>
      <c r="I4" s="165" t="s">
        <v>38</v>
      </c>
      <c r="J4" s="166" t="s">
        <v>37</v>
      </c>
      <c r="K4" s="166" t="s">
        <v>38</v>
      </c>
      <c r="M4" s="189" t="s">
        <v>57</v>
      </c>
      <c r="N4" s="24">
        <v>500000</v>
      </c>
      <c r="O4" s="24">
        <f>+-E7</f>
        <v>-100000</v>
      </c>
      <c r="P4" s="24">
        <f>+N4+O4</f>
        <v>400000</v>
      </c>
      <c r="Q4" s="24">
        <f>+N4</f>
        <v>500000</v>
      </c>
      <c r="R4" s="24">
        <f>+Q4-P4</f>
        <v>100000</v>
      </c>
      <c r="S4" s="229">
        <f>+R4*$K$1</f>
        <v>30000</v>
      </c>
    </row>
    <row r="5" spans="1:19" x14ac:dyDescent="0.25">
      <c r="A5" s="162" t="s">
        <v>153</v>
      </c>
      <c r="D5" s="193">
        <v>100000</v>
      </c>
      <c r="F5" s="193">
        <v>90000</v>
      </c>
      <c r="H5" s="193">
        <v>80000</v>
      </c>
      <c r="J5" s="193">
        <v>50000</v>
      </c>
      <c r="M5" s="189" t="s">
        <v>58</v>
      </c>
      <c r="N5" s="24">
        <v>520000</v>
      </c>
      <c r="O5" s="24">
        <f>-G7</f>
        <v>-190000</v>
      </c>
      <c r="P5" s="24">
        <f>+N5+O5</f>
        <v>330000</v>
      </c>
      <c r="Q5" s="24">
        <f>+N5</f>
        <v>520000</v>
      </c>
      <c r="R5" s="24">
        <f>+Q5-P5</f>
        <v>190000</v>
      </c>
      <c r="S5" s="217">
        <f>+R5*$K$1</f>
        <v>57000</v>
      </c>
    </row>
    <row r="6" spans="1:19" x14ac:dyDescent="0.25">
      <c r="A6" s="162" t="s">
        <v>154</v>
      </c>
      <c r="E6" s="162">
        <f>+D5</f>
        <v>100000</v>
      </c>
      <c r="G6" s="162">
        <f>+F5</f>
        <v>90000</v>
      </c>
      <c r="I6" s="162">
        <f>+H5</f>
        <v>80000</v>
      </c>
      <c r="K6" s="162">
        <f>+J5</f>
        <v>50000</v>
      </c>
      <c r="M6" s="189" t="s">
        <v>59</v>
      </c>
      <c r="N6" s="24">
        <v>540000</v>
      </c>
      <c r="O6" s="24">
        <f>-I7</f>
        <v>-270000</v>
      </c>
      <c r="P6" s="24">
        <f>+N6+O6</f>
        <v>270000</v>
      </c>
      <c r="Q6" s="24">
        <f>+N6</f>
        <v>540000</v>
      </c>
      <c r="R6" s="24">
        <f>+Q6-P6</f>
        <v>270000</v>
      </c>
      <c r="S6" s="217">
        <f>+R6*$K$1</f>
        <v>81000</v>
      </c>
    </row>
    <row r="7" spans="1:19" ht="15.75" thickBot="1" x14ac:dyDescent="0.3">
      <c r="A7" s="168" t="s">
        <v>154</v>
      </c>
      <c r="B7" s="169"/>
      <c r="C7" s="169" t="s">
        <v>155</v>
      </c>
      <c r="D7" s="169"/>
      <c r="E7" s="169">
        <f>+E6</f>
        <v>100000</v>
      </c>
      <c r="F7" s="169"/>
      <c r="G7" s="169">
        <f>+E7+G6</f>
        <v>190000</v>
      </c>
      <c r="H7" s="169"/>
      <c r="I7" s="169">
        <f>+G7+I6</f>
        <v>270000</v>
      </c>
      <c r="J7" s="169"/>
      <c r="K7" s="170">
        <f>+I7+K6</f>
        <v>320000</v>
      </c>
      <c r="M7" s="224" t="s">
        <v>60</v>
      </c>
      <c r="N7" s="225">
        <v>640000</v>
      </c>
      <c r="O7" s="225">
        <f>-K7</f>
        <v>-320000</v>
      </c>
      <c r="P7" s="225">
        <f>+N7+O7</f>
        <v>320000</v>
      </c>
      <c r="Q7" s="225">
        <f>+N7</f>
        <v>640000</v>
      </c>
      <c r="R7" s="225">
        <f>+Q7-P7</f>
        <v>320000</v>
      </c>
      <c r="S7" s="220">
        <f>+R7*$K$1</f>
        <v>96000</v>
      </c>
    </row>
    <row r="8" spans="1:19" ht="14.25" customHeight="1" thickBot="1" x14ac:dyDescent="0.3"/>
    <row r="9" spans="1:19" ht="15.75" thickBot="1" x14ac:dyDescent="0.3">
      <c r="A9" s="168" t="s">
        <v>158</v>
      </c>
      <c r="B9" s="169"/>
      <c r="C9" s="169"/>
      <c r="D9" s="169"/>
      <c r="E9" s="169"/>
      <c r="F9" s="169"/>
      <c r="G9" s="169"/>
      <c r="H9" s="169"/>
      <c r="I9" s="169"/>
      <c r="J9" s="169"/>
      <c r="K9" s="170"/>
      <c r="M9" s="230" t="s">
        <v>176</v>
      </c>
      <c r="N9" s="231"/>
      <c r="O9" s="232"/>
    </row>
    <row r="10" spans="1:19" x14ac:dyDescent="0.25">
      <c r="A10" s="177" t="s">
        <v>92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19" x14ac:dyDescent="0.25">
      <c r="A11" s="180" t="s">
        <v>156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M11" s="163" t="s">
        <v>177</v>
      </c>
    </row>
    <row r="12" spans="1:19" x14ac:dyDescent="0.25">
      <c r="A12" s="180" t="s">
        <v>157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2"/>
    </row>
    <row r="13" spans="1:19" x14ac:dyDescent="0.25">
      <c r="A13" s="180" t="s">
        <v>94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</row>
    <row r="14" spans="1:19" x14ac:dyDescent="0.25">
      <c r="A14" s="180" t="s">
        <v>94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2"/>
    </row>
    <row r="15" spans="1:19" s="163" customFormat="1" x14ac:dyDescent="0.25">
      <c r="A15" s="198" t="s">
        <v>95</v>
      </c>
      <c r="B15" s="194"/>
      <c r="C15" s="194"/>
      <c r="D15" s="194"/>
      <c r="E15" s="194">
        <v>1200000</v>
      </c>
      <c r="F15" s="194"/>
      <c r="G15" s="194">
        <v>1300000</v>
      </c>
      <c r="H15" s="194"/>
      <c r="I15" s="194">
        <v>1500000</v>
      </c>
      <c r="J15" s="194"/>
      <c r="K15" s="199">
        <v>2000000</v>
      </c>
    </row>
    <row r="16" spans="1:19" x14ac:dyDescent="0.25">
      <c r="A16" s="171" t="s">
        <v>159</v>
      </c>
      <c r="B16" s="172"/>
      <c r="C16" s="172"/>
      <c r="D16" s="172"/>
      <c r="E16" s="172">
        <f>-D35</f>
        <v>-414000</v>
      </c>
      <c r="F16" s="172"/>
      <c r="G16" s="172">
        <f>-F35</f>
        <v>-441000</v>
      </c>
      <c r="H16" s="172"/>
      <c r="I16" s="172">
        <f>-H35</f>
        <v>-498000</v>
      </c>
      <c r="J16" s="172"/>
      <c r="K16" s="173">
        <f>-J35</f>
        <v>-639000</v>
      </c>
    </row>
    <row r="17" spans="1:13" x14ac:dyDescent="0.25">
      <c r="A17" s="174" t="s">
        <v>310</v>
      </c>
      <c r="B17" s="175"/>
      <c r="C17" s="175"/>
      <c r="D17" s="175"/>
      <c r="E17" s="175">
        <f>+'ID1'!E17</f>
        <v>30000</v>
      </c>
      <c r="F17" s="175"/>
      <c r="G17" s="175">
        <f>+'ID1'!G17</f>
        <v>27000</v>
      </c>
      <c r="H17" s="175"/>
      <c r="I17" s="175">
        <f>+'ID1'!I17</f>
        <v>24000</v>
      </c>
      <c r="J17" s="175"/>
      <c r="K17" s="176">
        <f>+'ID1'!K17</f>
        <v>15000</v>
      </c>
    </row>
    <row r="18" spans="1:13" s="163" customFormat="1" x14ac:dyDescent="0.25">
      <c r="A18" s="198" t="s">
        <v>99</v>
      </c>
      <c r="B18" s="194"/>
      <c r="C18" s="194"/>
      <c r="D18" s="194"/>
      <c r="E18" s="194">
        <f>SUM(E15:E17)</f>
        <v>816000</v>
      </c>
      <c r="F18" s="194"/>
      <c r="G18" s="194">
        <f>SUM(G15:G17)</f>
        <v>886000</v>
      </c>
      <c r="H18" s="194"/>
      <c r="I18" s="194">
        <f>SUM(I15:I17)</f>
        <v>1026000</v>
      </c>
      <c r="J18" s="194"/>
      <c r="K18" s="199">
        <f>SUM(K15:K17)</f>
        <v>1376000</v>
      </c>
    </row>
    <row r="20" spans="1:13" x14ac:dyDescent="0.25">
      <c r="A20" s="236" t="s">
        <v>165</v>
      </c>
      <c r="B20" s="237"/>
      <c r="C20" s="237"/>
      <c r="D20" s="237"/>
      <c r="E20" s="238">
        <f>-(E16+E17)/E15</f>
        <v>0.32</v>
      </c>
      <c r="F20" s="239"/>
      <c r="G20" s="238">
        <f>-(G16+G17)/G15</f>
        <v>0.31846153846153846</v>
      </c>
      <c r="H20" s="239"/>
      <c r="I20" s="238">
        <f>-(I16+I17)/I15</f>
        <v>0.316</v>
      </c>
      <c r="J20" s="239"/>
      <c r="K20" s="240">
        <f>-(K16+K17)/K15</f>
        <v>0.312</v>
      </c>
    </row>
    <row r="21" spans="1:13" x14ac:dyDescent="0.25">
      <c r="A21" s="236" t="s">
        <v>322</v>
      </c>
      <c r="B21" s="237"/>
      <c r="C21" s="237"/>
      <c r="D21" s="237"/>
      <c r="E21" s="238">
        <f>+E20-$K$1</f>
        <v>2.0000000000000018E-2</v>
      </c>
      <c r="F21" s="239"/>
      <c r="G21" s="238">
        <f>+G20-$K$1</f>
        <v>1.8461538461538474E-2</v>
      </c>
      <c r="H21" s="239"/>
      <c r="I21" s="238">
        <f>+I20-$K$1</f>
        <v>1.6000000000000014E-2</v>
      </c>
      <c r="J21" s="239"/>
      <c r="K21" s="238">
        <f>+K20-$K$1</f>
        <v>1.2000000000000011E-2</v>
      </c>
    </row>
    <row r="22" spans="1:13" ht="15.75" thickBot="1" x14ac:dyDescent="0.3"/>
    <row r="23" spans="1:13" x14ac:dyDescent="0.25">
      <c r="A23" s="190" t="s">
        <v>160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3" x14ac:dyDescent="0.25">
      <c r="A24" s="187" t="s">
        <v>95</v>
      </c>
      <c r="B24" s="183"/>
      <c r="C24" s="183"/>
      <c r="D24" s="183"/>
      <c r="E24" s="183">
        <f>+E15</f>
        <v>1200000</v>
      </c>
      <c r="F24" s="183"/>
      <c r="G24" s="183">
        <f>+G15</f>
        <v>1300000</v>
      </c>
      <c r="H24" s="183"/>
      <c r="I24" s="183">
        <f>+I15</f>
        <v>1500000</v>
      </c>
      <c r="J24" s="183"/>
      <c r="K24" s="188">
        <f>+K15</f>
        <v>2000000</v>
      </c>
    </row>
    <row r="25" spans="1:13" x14ac:dyDescent="0.25">
      <c r="A25" s="209" t="s">
        <v>161</v>
      </c>
      <c r="B25" s="210"/>
      <c r="C25" s="210"/>
      <c r="D25" s="210"/>
      <c r="E25" s="210">
        <f>+D5</f>
        <v>100000</v>
      </c>
      <c r="F25" s="210"/>
      <c r="G25" s="210">
        <f>+F5</f>
        <v>90000</v>
      </c>
      <c r="H25" s="210"/>
      <c r="I25" s="210">
        <f>+H5</f>
        <v>80000</v>
      </c>
      <c r="J25" s="210"/>
      <c r="K25" s="211">
        <f>+J5</f>
        <v>50000</v>
      </c>
    </row>
    <row r="26" spans="1:13" x14ac:dyDescent="0.25">
      <c r="A26" s="189" t="s">
        <v>162</v>
      </c>
      <c r="B26" s="24"/>
      <c r="C26" s="24"/>
      <c r="D26" s="24"/>
      <c r="E26" s="24"/>
      <c r="F26" s="24"/>
      <c r="G26" s="24"/>
      <c r="H26" s="24"/>
      <c r="I26" s="24"/>
      <c r="J26" s="24"/>
      <c r="K26" s="27"/>
      <c r="M26" s="162">
        <f>+E27*0.3</f>
        <v>24000</v>
      </c>
    </row>
    <row r="27" spans="1:13" x14ac:dyDescent="0.25">
      <c r="A27" s="356" t="s">
        <v>178</v>
      </c>
      <c r="B27" s="357"/>
      <c r="C27" s="357"/>
      <c r="D27" s="357"/>
      <c r="E27" s="357">
        <v>80000</v>
      </c>
      <c r="F27" s="357"/>
      <c r="G27" s="357">
        <v>80000</v>
      </c>
      <c r="H27" s="357"/>
      <c r="I27" s="357">
        <v>80000</v>
      </c>
      <c r="J27" s="357"/>
      <c r="K27" s="358">
        <v>80000</v>
      </c>
      <c r="M27" s="23">
        <f>+M26/G24</f>
        <v>1.8461538461538463E-2</v>
      </c>
    </row>
    <row r="28" spans="1:13" s="163" customFormat="1" x14ac:dyDescent="0.25">
      <c r="A28" s="195" t="s">
        <v>78</v>
      </c>
      <c r="B28" s="196"/>
      <c r="C28" s="196"/>
      <c r="D28" s="196"/>
      <c r="E28" s="196">
        <f>SUM(E24:E27)</f>
        <v>1380000</v>
      </c>
      <c r="F28" s="196"/>
      <c r="G28" s="196">
        <f>SUM(G24:G27)</f>
        <v>1470000</v>
      </c>
      <c r="H28" s="196"/>
      <c r="I28" s="196">
        <f>SUM(I24:I27)</f>
        <v>1660000</v>
      </c>
      <c r="J28" s="196"/>
      <c r="K28" s="197">
        <f>SUM(K24:K27)</f>
        <v>2130000</v>
      </c>
    </row>
    <row r="29" spans="1:13" s="163" customFormat="1" ht="15.75" thickBot="1" x14ac:dyDescent="0.3">
      <c r="A29" s="200" t="s">
        <v>159</v>
      </c>
      <c r="B29" s="201"/>
      <c r="C29" s="201"/>
      <c r="D29" s="201"/>
      <c r="E29" s="201">
        <f>-+E28*$K$1</f>
        <v>-414000</v>
      </c>
      <c r="F29" s="201"/>
      <c r="G29" s="201">
        <f>-+G28*$K$1</f>
        <v>-441000</v>
      </c>
      <c r="H29" s="201"/>
      <c r="I29" s="201">
        <f>-+I28*$K$1</f>
        <v>-498000</v>
      </c>
      <c r="J29" s="201"/>
      <c r="K29" s="202">
        <f>-+K28*$K$1</f>
        <v>-639000</v>
      </c>
    </row>
    <row r="30" spans="1:13" ht="15.75" thickBot="1" x14ac:dyDescent="0.3">
      <c r="A30" s="212" t="s">
        <v>169</v>
      </c>
      <c r="B30" s="213"/>
      <c r="C30" s="213"/>
      <c r="D30" s="213"/>
      <c r="E30" s="213">
        <f>(+E25)*$K$1</f>
        <v>30000</v>
      </c>
      <c r="F30" s="213"/>
      <c r="G30" s="213">
        <f>(+G25)*$K$1</f>
        <v>27000</v>
      </c>
      <c r="H30" s="213"/>
      <c r="I30" s="213">
        <f>(+I25)*$K$1</f>
        <v>24000</v>
      </c>
      <c r="J30" s="213"/>
      <c r="K30" s="213">
        <f>(+K25)*$K$1</f>
        <v>15000</v>
      </c>
    </row>
    <row r="31" spans="1:13" ht="15.75" thickBot="1" x14ac:dyDescent="0.3">
      <c r="A31" s="215" t="s">
        <v>170</v>
      </c>
      <c r="B31" s="216"/>
      <c r="C31" s="216"/>
      <c r="D31" s="216"/>
      <c r="E31" s="218">
        <f>+E17</f>
        <v>30000</v>
      </c>
      <c r="F31" s="216"/>
      <c r="G31" s="218">
        <f>+E31+G17</f>
        <v>57000</v>
      </c>
      <c r="H31" s="216"/>
      <c r="I31" s="218">
        <f>+G31+I17</f>
        <v>81000</v>
      </c>
      <c r="J31" s="216"/>
      <c r="K31" s="219">
        <f>+I31+K17</f>
        <v>96000</v>
      </c>
    </row>
    <row r="32" spans="1:13" ht="15.75" thickBot="1" x14ac:dyDescent="0.3"/>
    <row r="33" spans="1:11" ht="15.75" thickBot="1" x14ac:dyDescent="0.3">
      <c r="A33" s="241" t="s">
        <v>179</v>
      </c>
      <c r="B33" s="242"/>
      <c r="C33" s="242"/>
      <c r="D33" s="242"/>
      <c r="E33" s="243">
        <f>E27*$K$1/E24</f>
        <v>0.02</v>
      </c>
      <c r="F33" s="244"/>
      <c r="G33" s="243">
        <f>G27*$K$1/G24</f>
        <v>1.8461538461538463E-2</v>
      </c>
      <c r="H33" s="244"/>
      <c r="I33" s="243">
        <f>I27*$K$1/I24</f>
        <v>1.6E-2</v>
      </c>
      <c r="J33" s="244"/>
      <c r="K33" s="245">
        <f>K27*$K$1/K24</f>
        <v>1.2E-2</v>
      </c>
    </row>
    <row r="35" spans="1:11" x14ac:dyDescent="0.25">
      <c r="A35" s="171" t="s">
        <v>311</v>
      </c>
      <c r="B35" s="172"/>
      <c r="C35" s="173"/>
      <c r="D35" s="171">
        <f>-E29</f>
        <v>414000</v>
      </c>
      <c r="E35" s="173"/>
      <c r="F35" s="171">
        <f>-G29</f>
        <v>441000</v>
      </c>
      <c r="G35" s="173"/>
      <c r="H35" s="171">
        <f>-I29</f>
        <v>498000</v>
      </c>
      <c r="I35" s="173"/>
      <c r="J35" s="171">
        <f>-K29</f>
        <v>639000</v>
      </c>
      <c r="K35" s="173"/>
    </row>
    <row r="36" spans="1:11" x14ac:dyDescent="0.25">
      <c r="A36" s="174" t="s">
        <v>181</v>
      </c>
      <c r="B36" s="175"/>
      <c r="C36" s="176"/>
      <c r="D36" s="174"/>
      <c r="E36" s="176">
        <f>+D35</f>
        <v>414000</v>
      </c>
      <c r="F36" s="174"/>
      <c r="G36" s="176">
        <f>+F35</f>
        <v>441000</v>
      </c>
      <c r="H36" s="174"/>
      <c r="I36" s="176">
        <f>+H35</f>
        <v>498000</v>
      </c>
      <c r="J36" s="174"/>
      <c r="K36" s="176">
        <f>+J35</f>
        <v>639000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0976-7B50-4D81-AAD7-FE5F5C1972C0}">
  <dimension ref="A1:S77"/>
  <sheetViews>
    <sheetView topLeftCell="A28" zoomScale="130" zoomScaleNormal="130" workbookViewId="0">
      <selection activeCell="E17" sqref="E17:K17"/>
    </sheetView>
  </sheetViews>
  <sheetFormatPr baseColWidth="10" defaultRowHeight="15" x14ac:dyDescent="0.25"/>
  <cols>
    <col min="1" max="1" width="12.7109375" style="162" customWidth="1"/>
    <col min="2" max="2" width="11.42578125" style="162" customWidth="1"/>
    <col min="3" max="3" width="11.5703125" style="162" customWidth="1"/>
    <col min="4" max="5" width="11.42578125" style="162" customWidth="1"/>
    <col min="6" max="6" width="12.42578125" style="162" customWidth="1"/>
    <col min="7" max="8" width="11.42578125" style="162" customWidth="1"/>
    <col min="9" max="9" width="12.5703125" style="162" customWidth="1"/>
    <col min="10" max="11" width="11.42578125" style="162" customWidth="1"/>
    <col min="12" max="12" width="3" style="162" customWidth="1"/>
    <col min="13" max="13" width="7.42578125" style="162" bestFit="1" customWidth="1"/>
    <col min="14" max="14" width="11.5703125" style="162" bestFit="1" customWidth="1"/>
    <col min="15" max="15" width="11.42578125" style="162"/>
    <col min="16" max="16" width="9.42578125" style="162" bestFit="1" customWidth="1"/>
    <col min="17" max="16384" width="11.42578125" style="162"/>
  </cols>
  <sheetData>
    <row r="1" spans="1:19" ht="15.75" thickBot="1" x14ac:dyDescent="0.3">
      <c r="A1" s="163" t="s">
        <v>151</v>
      </c>
      <c r="J1" s="163" t="s">
        <v>152</v>
      </c>
      <c r="K1" s="164">
        <v>0.3</v>
      </c>
    </row>
    <row r="2" spans="1:19" ht="15.75" thickBot="1" x14ac:dyDescent="0.3">
      <c r="A2" s="167" t="s">
        <v>166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M2" s="222"/>
      <c r="N2" s="185" t="s">
        <v>171</v>
      </c>
      <c r="O2" s="185"/>
      <c r="P2" s="185"/>
      <c r="Q2" s="185"/>
      <c r="R2" s="185"/>
      <c r="S2" s="186"/>
    </row>
    <row r="3" spans="1:19" ht="15.75" thickBot="1" x14ac:dyDescent="0.3">
      <c r="D3" s="165" t="s">
        <v>57</v>
      </c>
      <c r="E3" s="165" t="s">
        <v>57</v>
      </c>
      <c r="F3" s="166" t="s">
        <v>58</v>
      </c>
      <c r="G3" s="166" t="s">
        <v>58</v>
      </c>
      <c r="H3" s="165" t="s">
        <v>59</v>
      </c>
      <c r="I3" s="165" t="s">
        <v>59</v>
      </c>
      <c r="J3" s="166" t="s">
        <v>60</v>
      </c>
      <c r="K3" s="166" t="s">
        <v>60</v>
      </c>
      <c r="M3" s="189"/>
      <c r="N3" s="226" t="s">
        <v>51</v>
      </c>
      <c r="O3" s="227" t="s">
        <v>172</v>
      </c>
      <c r="P3" s="227" t="s">
        <v>173</v>
      </c>
      <c r="Q3" s="227" t="s">
        <v>174</v>
      </c>
      <c r="R3" s="228" t="s">
        <v>82</v>
      </c>
      <c r="S3" s="221" t="s">
        <v>175</v>
      </c>
    </row>
    <row r="4" spans="1:19" x14ac:dyDescent="0.25">
      <c r="A4" s="163" t="s">
        <v>163</v>
      </c>
      <c r="D4" s="165" t="s">
        <v>37</v>
      </c>
      <c r="E4" s="165" t="s">
        <v>38</v>
      </c>
      <c r="F4" s="166" t="s">
        <v>37</v>
      </c>
      <c r="G4" s="166" t="s">
        <v>38</v>
      </c>
      <c r="H4" s="165" t="s">
        <v>37</v>
      </c>
      <c r="I4" s="165" t="s">
        <v>38</v>
      </c>
      <c r="J4" s="166" t="s">
        <v>37</v>
      </c>
      <c r="K4" s="166" t="s">
        <v>38</v>
      </c>
      <c r="M4" s="189" t="s">
        <v>57</v>
      </c>
      <c r="N4" s="24">
        <v>500000</v>
      </c>
      <c r="O4" s="24">
        <f>+-E7</f>
        <v>-100000</v>
      </c>
      <c r="P4" s="24">
        <f>+N4+O4</f>
        <v>400000</v>
      </c>
      <c r="Q4" s="24">
        <f>+N4</f>
        <v>500000</v>
      </c>
      <c r="R4" s="24">
        <f>+Q4-P4</f>
        <v>100000</v>
      </c>
      <c r="S4" s="229">
        <f>+R4*$K$1</f>
        <v>30000</v>
      </c>
    </row>
    <row r="5" spans="1:19" x14ac:dyDescent="0.25">
      <c r="A5" s="162" t="s">
        <v>153</v>
      </c>
      <c r="D5" s="193">
        <v>100000</v>
      </c>
      <c r="F5" s="193">
        <v>90000</v>
      </c>
      <c r="H5" s="193">
        <v>80000</v>
      </c>
      <c r="J5" s="193">
        <v>50000</v>
      </c>
      <c r="M5" s="189" t="s">
        <v>58</v>
      </c>
      <c r="N5" s="24">
        <v>520000</v>
      </c>
      <c r="O5" s="24">
        <f>-G7</f>
        <v>-190000</v>
      </c>
      <c r="P5" s="24">
        <f>+N5+O5</f>
        <v>330000</v>
      </c>
      <c r="Q5" s="24">
        <f>+N5</f>
        <v>520000</v>
      </c>
      <c r="R5" s="24">
        <f>+Q5-P5</f>
        <v>190000</v>
      </c>
      <c r="S5" s="217">
        <f>+R5*$K$1</f>
        <v>57000</v>
      </c>
    </row>
    <row r="6" spans="1:19" x14ac:dyDescent="0.25">
      <c r="A6" s="162" t="s">
        <v>154</v>
      </c>
      <c r="E6" s="162">
        <f>+D5</f>
        <v>100000</v>
      </c>
      <c r="G6" s="162">
        <f>+F5</f>
        <v>90000</v>
      </c>
      <c r="I6" s="162">
        <f>+H5</f>
        <v>80000</v>
      </c>
      <c r="K6" s="162">
        <f>+J5</f>
        <v>50000</v>
      </c>
      <c r="M6" s="189" t="s">
        <v>59</v>
      </c>
      <c r="N6" s="24">
        <v>540000</v>
      </c>
      <c r="O6" s="24">
        <f>-I7</f>
        <v>-270000</v>
      </c>
      <c r="P6" s="24">
        <f>+N6+O6</f>
        <v>270000</v>
      </c>
      <c r="Q6" s="24">
        <f>+N6</f>
        <v>540000</v>
      </c>
      <c r="R6" s="24">
        <f>+Q6-P6</f>
        <v>270000</v>
      </c>
      <c r="S6" s="217">
        <f>+R6*$K$1</f>
        <v>81000</v>
      </c>
    </row>
    <row r="7" spans="1:19" ht="15.75" thickBot="1" x14ac:dyDescent="0.3">
      <c r="A7" s="168" t="s">
        <v>154</v>
      </c>
      <c r="B7" s="169"/>
      <c r="C7" s="169" t="s">
        <v>155</v>
      </c>
      <c r="D7" s="169"/>
      <c r="E7" s="169">
        <f>+E6</f>
        <v>100000</v>
      </c>
      <c r="F7" s="169"/>
      <c r="G7" s="169">
        <f>+E7+G6</f>
        <v>190000</v>
      </c>
      <c r="H7" s="169"/>
      <c r="I7" s="169">
        <f>+G7+I6</f>
        <v>270000</v>
      </c>
      <c r="J7" s="169"/>
      <c r="K7" s="170">
        <f>+I7+K6</f>
        <v>320000</v>
      </c>
      <c r="M7" s="224" t="s">
        <v>60</v>
      </c>
      <c r="N7" s="225">
        <v>640000</v>
      </c>
      <c r="O7" s="225">
        <f>-K7</f>
        <v>-320000</v>
      </c>
      <c r="P7" s="225">
        <f>+N7+O7</f>
        <v>320000</v>
      </c>
      <c r="Q7" s="225">
        <f>+N7</f>
        <v>640000</v>
      </c>
      <c r="R7" s="225">
        <f>+Q7-P7</f>
        <v>320000</v>
      </c>
      <c r="S7" s="220">
        <f>+R7*$K$1</f>
        <v>96000</v>
      </c>
    </row>
    <row r="8" spans="1:19" ht="14.25" customHeight="1" thickBot="1" x14ac:dyDescent="0.3"/>
    <row r="9" spans="1:19" ht="15.75" thickBot="1" x14ac:dyDescent="0.3">
      <c r="A9" s="168" t="s">
        <v>158</v>
      </c>
      <c r="B9" s="169"/>
      <c r="C9" s="169"/>
      <c r="D9" s="169"/>
      <c r="E9" s="169"/>
      <c r="F9" s="169"/>
      <c r="G9" s="169"/>
      <c r="H9" s="169"/>
      <c r="I9" s="169"/>
      <c r="J9" s="169"/>
      <c r="K9" s="170"/>
      <c r="M9" s="230" t="s">
        <v>176</v>
      </c>
      <c r="N9" s="231"/>
      <c r="O9" s="232"/>
    </row>
    <row r="10" spans="1:19" x14ac:dyDescent="0.25">
      <c r="A10" s="177" t="s">
        <v>92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19" x14ac:dyDescent="0.25">
      <c r="A11" s="180" t="s">
        <v>156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M11" s="163" t="s">
        <v>177</v>
      </c>
    </row>
    <row r="12" spans="1:19" x14ac:dyDescent="0.25">
      <c r="A12" s="180" t="s">
        <v>157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2"/>
    </row>
    <row r="13" spans="1:19" x14ac:dyDescent="0.25">
      <c r="A13" s="180" t="s">
        <v>94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</row>
    <row r="14" spans="1:19" x14ac:dyDescent="0.25">
      <c r="A14" s="180" t="s">
        <v>94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2"/>
    </row>
    <row r="15" spans="1:19" s="163" customFormat="1" x14ac:dyDescent="0.25">
      <c r="A15" s="198" t="s">
        <v>95</v>
      </c>
      <c r="B15" s="194"/>
      <c r="C15" s="194"/>
      <c r="D15" s="194"/>
      <c r="E15" s="194">
        <v>1200000</v>
      </c>
      <c r="F15" s="194"/>
      <c r="G15" s="194">
        <v>1300000</v>
      </c>
      <c r="H15" s="194"/>
      <c r="I15" s="194">
        <v>1500000</v>
      </c>
      <c r="J15" s="194"/>
      <c r="K15" s="199">
        <v>2000000</v>
      </c>
    </row>
    <row r="16" spans="1:19" x14ac:dyDescent="0.25">
      <c r="A16" s="171" t="s">
        <v>167</v>
      </c>
      <c r="B16" s="172"/>
      <c r="C16" s="172"/>
      <c r="D16" s="172"/>
      <c r="E16" s="172">
        <f>+E29</f>
        <v>-414000</v>
      </c>
      <c r="F16" s="172"/>
      <c r="G16" s="172">
        <f>+G29</f>
        <v>-441000</v>
      </c>
      <c r="H16" s="172"/>
      <c r="I16" s="172">
        <f>+I29</f>
        <v>-498000</v>
      </c>
      <c r="J16" s="172"/>
      <c r="K16" s="173">
        <f>+K29</f>
        <v>-639000</v>
      </c>
    </row>
    <row r="17" spans="1:11" x14ac:dyDescent="0.25">
      <c r="A17" s="174" t="s">
        <v>168</v>
      </c>
      <c r="B17" s="175"/>
      <c r="C17" s="175"/>
      <c r="D17" s="175"/>
      <c r="E17" s="175">
        <f>E30</f>
        <v>30000</v>
      </c>
      <c r="F17" s="175"/>
      <c r="G17" s="175">
        <f>G30</f>
        <v>27000</v>
      </c>
      <c r="H17" s="175"/>
      <c r="I17" s="175">
        <f>I30</f>
        <v>24000</v>
      </c>
      <c r="J17" s="175"/>
      <c r="K17" s="176">
        <f>K30</f>
        <v>15000</v>
      </c>
    </row>
    <row r="18" spans="1:11" s="163" customFormat="1" x14ac:dyDescent="0.25">
      <c r="A18" s="198" t="s">
        <v>99</v>
      </c>
      <c r="B18" s="194"/>
      <c r="C18" s="194"/>
      <c r="D18" s="194"/>
      <c r="E18" s="194">
        <f>SUM(E15:E17)</f>
        <v>816000</v>
      </c>
      <c r="F18" s="194"/>
      <c r="G18" s="194">
        <f>SUM(G15:G17)</f>
        <v>886000</v>
      </c>
      <c r="H18" s="194"/>
      <c r="I18" s="194">
        <f>SUM(I15:I17)</f>
        <v>1026000</v>
      </c>
      <c r="J18" s="194"/>
      <c r="K18" s="199">
        <f>SUM(K15:K17)</f>
        <v>1376000</v>
      </c>
    </row>
    <row r="19" spans="1:11" x14ac:dyDescent="0.25">
      <c r="A19" s="163" t="s">
        <v>164</v>
      </c>
      <c r="E19" s="203">
        <v>0.7</v>
      </c>
      <c r="F19" s="204"/>
      <c r="G19" s="203">
        <v>0.7</v>
      </c>
      <c r="H19" s="204"/>
      <c r="I19" s="203">
        <v>0.7</v>
      </c>
      <c r="J19" s="204"/>
      <c r="K19" s="203">
        <v>0.7</v>
      </c>
    </row>
    <row r="20" spans="1:11" x14ac:dyDescent="0.25">
      <c r="A20" s="163" t="s">
        <v>164</v>
      </c>
      <c r="E20" s="203">
        <f>+E18/E15</f>
        <v>0.68</v>
      </c>
      <c r="F20" s="204"/>
      <c r="G20" s="203">
        <f>+G18/G15</f>
        <v>0.68153846153846154</v>
      </c>
      <c r="H20" s="204"/>
      <c r="I20" s="203">
        <f>+I18/I15</f>
        <v>0.68400000000000005</v>
      </c>
      <c r="J20" s="204"/>
      <c r="K20" s="203">
        <f>+K18/K15</f>
        <v>0.68799999999999994</v>
      </c>
    </row>
    <row r="21" spans="1:11" x14ac:dyDescent="0.25">
      <c r="A21" s="236" t="s">
        <v>165</v>
      </c>
      <c r="B21" s="237"/>
      <c r="C21" s="237"/>
      <c r="D21" s="237"/>
      <c r="E21" s="238">
        <f>-(E16+E17)/E15</f>
        <v>0.32</v>
      </c>
      <c r="F21" s="239"/>
      <c r="G21" s="238">
        <f>-(G16+G17)/G15</f>
        <v>0.31846153846153846</v>
      </c>
      <c r="H21" s="239"/>
      <c r="I21" s="238">
        <f>-(I16+I17)/I15</f>
        <v>0.316</v>
      </c>
      <c r="J21" s="239"/>
      <c r="K21" s="240">
        <f>-(K16+K17)/K15</f>
        <v>0.312</v>
      </c>
    </row>
    <row r="22" spans="1:11" ht="15.75" thickBot="1" x14ac:dyDescent="0.3"/>
    <row r="23" spans="1:11" x14ac:dyDescent="0.25">
      <c r="A23" s="190" t="s">
        <v>160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 x14ac:dyDescent="0.25">
      <c r="A24" s="187" t="s">
        <v>95</v>
      </c>
      <c r="B24" s="183"/>
      <c r="C24" s="183"/>
      <c r="D24" s="183"/>
      <c r="E24" s="183">
        <f>+E15</f>
        <v>1200000</v>
      </c>
      <c r="F24" s="183"/>
      <c r="G24" s="183">
        <f>+G15</f>
        <v>1300000</v>
      </c>
      <c r="H24" s="183"/>
      <c r="I24" s="183">
        <f>+I15</f>
        <v>1500000</v>
      </c>
      <c r="J24" s="183"/>
      <c r="K24" s="188">
        <f>+K15</f>
        <v>2000000</v>
      </c>
    </row>
    <row r="25" spans="1:11" x14ac:dyDescent="0.25">
      <c r="A25" s="209" t="s">
        <v>161</v>
      </c>
      <c r="B25" s="210"/>
      <c r="C25" s="210"/>
      <c r="D25" s="210"/>
      <c r="E25" s="210">
        <f>+D5</f>
        <v>100000</v>
      </c>
      <c r="F25" s="210"/>
      <c r="G25" s="210">
        <f>+F5</f>
        <v>90000</v>
      </c>
      <c r="H25" s="210"/>
      <c r="I25" s="210">
        <f>+H5</f>
        <v>80000</v>
      </c>
      <c r="J25" s="210"/>
      <c r="K25" s="211">
        <f>+J5</f>
        <v>50000</v>
      </c>
    </row>
    <row r="26" spans="1:11" x14ac:dyDescent="0.25">
      <c r="A26" s="189" t="s">
        <v>162</v>
      </c>
      <c r="B26" s="24"/>
      <c r="C26" s="24"/>
      <c r="D26" s="24"/>
      <c r="E26" s="24"/>
      <c r="F26" s="24"/>
      <c r="G26" s="24"/>
      <c r="H26" s="24"/>
      <c r="I26" s="24"/>
      <c r="J26" s="24"/>
      <c r="K26" s="27"/>
    </row>
    <row r="27" spans="1:11" x14ac:dyDescent="0.25">
      <c r="A27" s="233" t="s">
        <v>178</v>
      </c>
      <c r="B27" s="234"/>
      <c r="C27" s="234"/>
      <c r="D27" s="234"/>
      <c r="E27" s="234">
        <v>80000</v>
      </c>
      <c r="F27" s="234"/>
      <c r="G27" s="234">
        <v>80000</v>
      </c>
      <c r="H27" s="234"/>
      <c r="I27" s="234">
        <v>80000</v>
      </c>
      <c r="J27" s="234"/>
      <c r="K27" s="235">
        <v>80000</v>
      </c>
    </row>
    <row r="28" spans="1:11" s="163" customFormat="1" x14ac:dyDescent="0.25">
      <c r="A28" s="195" t="s">
        <v>78</v>
      </c>
      <c r="B28" s="196"/>
      <c r="C28" s="196"/>
      <c r="D28" s="196"/>
      <c r="E28" s="196">
        <f>SUM(E24:E27)</f>
        <v>1380000</v>
      </c>
      <c r="F28" s="196"/>
      <c r="G28" s="196">
        <f>SUM(G24:G27)</f>
        <v>1470000</v>
      </c>
      <c r="H28" s="196"/>
      <c r="I28" s="196">
        <f>SUM(I24:I27)</f>
        <v>1660000</v>
      </c>
      <c r="J28" s="196"/>
      <c r="K28" s="197">
        <f>SUM(K24:K27)</f>
        <v>2130000</v>
      </c>
    </row>
    <row r="29" spans="1:11" s="163" customFormat="1" ht="15.75" thickBot="1" x14ac:dyDescent="0.3">
      <c r="A29" s="200" t="s">
        <v>159</v>
      </c>
      <c r="B29" s="201"/>
      <c r="C29" s="201"/>
      <c r="D29" s="201"/>
      <c r="E29" s="201">
        <f>-+E28*$K$1</f>
        <v>-414000</v>
      </c>
      <c r="F29" s="201"/>
      <c r="G29" s="201">
        <f>-+G28*$K$1</f>
        <v>-441000</v>
      </c>
      <c r="H29" s="201"/>
      <c r="I29" s="201">
        <f>-+I28*$K$1</f>
        <v>-498000</v>
      </c>
      <c r="J29" s="201"/>
      <c r="K29" s="202">
        <f>-+K28*$K$1</f>
        <v>-639000</v>
      </c>
    </row>
    <row r="30" spans="1:11" ht="15.75" thickBot="1" x14ac:dyDescent="0.3">
      <c r="A30" s="212" t="s">
        <v>169</v>
      </c>
      <c r="B30" s="213"/>
      <c r="C30" s="213"/>
      <c r="D30" s="213"/>
      <c r="E30" s="213">
        <f>(+E25)*$K$1</f>
        <v>30000</v>
      </c>
      <c r="F30" s="213"/>
      <c r="G30" s="213">
        <f>(+G25)*$K$1</f>
        <v>27000</v>
      </c>
      <c r="H30" s="213"/>
      <c r="I30" s="213">
        <f>(+I25)*$K$1</f>
        <v>24000</v>
      </c>
      <c r="J30" s="213"/>
      <c r="K30" s="213">
        <f>(+K25)*$K$1</f>
        <v>15000</v>
      </c>
    </row>
    <row r="31" spans="1:11" ht="15.75" thickBot="1" x14ac:dyDescent="0.3">
      <c r="A31" s="215" t="s">
        <v>170</v>
      </c>
      <c r="B31" s="216"/>
      <c r="C31" s="216"/>
      <c r="D31" s="216"/>
      <c r="E31" s="218">
        <f>+E17</f>
        <v>30000</v>
      </c>
      <c r="F31" s="216"/>
      <c r="G31" s="218">
        <f>+E31+G17</f>
        <v>57000</v>
      </c>
      <c r="H31" s="216"/>
      <c r="I31" s="218">
        <f>+G31+I17</f>
        <v>81000</v>
      </c>
      <c r="J31" s="216"/>
      <c r="K31" s="219">
        <f>+I31+K17</f>
        <v>96000</v>
      </c>
    </row>
    <row r="32" spans="1:11" ht="15.75" thickBot="1" x14ac:dyDescent="0.3"/>
    <row r="33" spans="1:11" ht="15.75" thickBot="1" x14ac:dyDescent="0.3">
      <c r="A33" s="241" t="s">
        <v>179</v>
      </c>
      <c r="B33" s="242"/>
      <c r="C33" s="242"/>
      <c r="D33" s="242"/>
      <c r="E33" s="243">
        <f>E27*$K$1/E24</f>
        <v>0.02</v>
      </c>
      <c r="F33" s="244"/>
      <c r="G33" s="243">
        <f>G27*$K$1/G24</f>
        <v>1.8461538461538463E-2</v>
      </c>
      <c r="H33" s="244"/>
      <c r="I33" s="243">
        <f>I27*$K$1/I24</f>
        <v>1.6E-2</v>
      </c>
      <c r="J33" s="244"/>
      <c r="K33" s="245">
        <f>K27*$K$1/K24</f>
        <v>1.2E-2</v>
      </c>
    </row>
    <row r="35" spans="1:11" ht="15.75" thickBot="1" x14ac:dyDescent="0.3"/>
    <row r="36" spans="1:11" ht="15.75" thickBot="1" x14ac:dyDescent="0.3">
      <c r="B36" s="222"/>
      <c r="C36" s="185"/>
      <c r="D36" s="185"/>
      <c r="E36" s="185"/>
      <c r="F36" s="185"/>
      <c r="G36" s="185"/>
      <c r="H36" s="185"/>
      <c r="I36" s="185"/>
      <c r="J36" s="186"/>
    </row>
    <row r="37" spans="1:11" ht="15.75" thickBot="1" x14ac:dyDescent="0.3">
      <c r="B37" s="189"/>
      <c r="C37" s="24"/>
      <c r="D37" s="446" t="s">
        <v>182</v>
      </c>
      <c r="E37" s="447"/>
      <c r="F37" s="447"/>
      <c r="G37" s="447"/>
      <c r="H37" s="448"/>
      <c r="I37" s="24"/>
      <c r="J37" s="27"/>
    </row>
    <row r="38" spans="1:11" ht="15.75" thickBot="1" x14ac:dyDescent="0.3">
      <c r="B38" s="189"/>
      <c r="C38" s="247">
        <v>44561</v>
      </c>
      <c r="D38" s="248" t="s">
        <v>160</v>
      </c>
      <c r="E38" s="191"/>
      <c r="F38" s="191"/>
      <c r="G38" s="191"/>
      <c r="H38" s="192"/>
      <c r="I38" s="247">
        <v>44926</v>
      </c>
      <c r="J38" s="27"/>
    </row>
    <row r="39" spans="1:11" x14ac:dyDescent="0.25">
      <c r="B39" s="189"/>
      <c r="C39" s="249" t="s">
        <v>186</v>
      </c>
      <c r="D39" s="183" t="s">
        <v>95</v>
      </c>
      <c r="E39" s="183"/>
      <c r="F39" s="183"/>
      <c r="G39" s="183"/>
      <c r="H39" s="188">
        <f>+G24</f>
        <v>1300000</v>
      </c>
      <c r="I39" s="249" t="s">
        <v>186</v>
      </c>
      <c r="J39" s="27"/>
    </row>
    <row r="40" spans="1:11" x14ac:dyDescent="0.25">
      <c r="B40" s="189"/>
      <c r="C40" s="249" t="s">
        <v>187</v>
      </c>
      <c r="D40" s="210" t="s">
        <v>161</v>
      </c>
      <c r="E40" s="210"/>
      <c r="F40" s="210"/>
      <c r="G40" s="210"/>
      <c r="H40" s="211">
        <f>+G25</f>
        <v>90000</v>
      </c>
      <c r="I40" s="249" t="s">
        <v>185</v>
      </c>
      <c r="J40" s="27"/>
    </row>
    <row r="41" spans="1:11" x14ac:dyDescent="0.25">
      <c r="B41" s="189"/>
      <c r="C41" s="249" t="s">
        <v>183</v>
      </c>
      <c r="D41" s="24" t="s">
        <v>162</v>
      </c>
      <c r="E41" s="24"/>
      <c r="F41" s="24"/>
      <c r="G41" s="24"/>
      <c r="H41" s="27"/>
      <c r="I41" s="249" t="s">
        <v>183</v>
      </c>
      <c r="J41" s="27"/>
    </row>
    <row r="42" spans="1:11" ht="15.75" thickBot="1" x14ac:dyDescent="0.3">
      <c r="B42" s="189"/>
      <c r="C42" s="249" t="s">
        <v>184</v>
      </c>
      <c r="D42" s="234" t="s">
        <v>178</v>
      </c>
      <c r="E42" s="234"/>
      <c r="F42" s="234"/>
      <c r="G42" s="234"/>
      <c r="H42" s="234">
        <f>+G27</f>
        <v>80000</v>
      </c>
      <c r="I42" s="249" t="s">
        <v>184</v>
      </c>
      <c r="J42" s="27"/>
    </row>
    <row r="43" spans="1:11" ht="15.75" thickBot="1" x14ac:dyDescent="0.3">
      <c r="B43" s="189"/>
      <c r="C43" s="250">
        <f>+R4</f>
        <v>100000</v>
      </c>
      <c r="D43" s="195" t="s">
        <v>78</v>
      </c>
      <c r="E43" s="196"/>
      <c r="F43" s="196"/>
      <c r="G43" s="196"/>
      <c r="H43" s="197">
        <f>SUM(H39:H42)</f>
        <v>1470000</v>
      </c>
      <c r="I43" s="250">
        <f>+R5</f>
        <v>190000</v>
      </c>
      <c r="J43" s="27"/>
    </row>
    <row r="44" spans="1:11" ht="15.75" thickBot="1" x14ac:dyDescent="0.3">
      <c r="B44" s="189"/>
      <c r="C44" s="24"/>
      <c r="D44" s="200" t="s">
        <v>159</v>
      </c>
      <c r="E44" s="201"/>
      <c r="F44" s="201"/>
      <c r="G44" s="201"/>
      <c r="H44" s="202">
        <f>-+H43*$K$1</f>
        <v>-441000</v>
      </c>
      <c r="I44" s="24"/>
      <c r="J44" s="27"/>
    </row>
    <row r="45" spans="1:11" ht="15.75" thickBot="1" x14ac:dyDescent="0.3">
      <c r="B45" s="189"/>
      <c r="C45" s="250">
        <f>+C43*$K$1</f>
        <v>30000</v>
      </c>
      <c r="D45" s="24"/>
      <c r="E45" s="24"/>
      <c r="F45" s="24"/>
      <c r="G45" s="24"/>
      <c r="H45" s="24"/>
      <c r="I45" s="250">
        <f>+I43*$K$1</f>
        <v>57000</v>
      </c>
      <c r="J45" s="27"/>
    </row>
    <row r="46" spans="1:11" x14ac:dyDescent="0.25">
      <c r="B46" s="189"/>
      <c r="C46" s="223" t="s">
        <v>188</v>
      </c>
      <c r="D46" s="24"/>
      <c r="E46" s="24"/>
      <c r="F46" s="24"/>
      <c r="G46" s="24"/>
      <c r="H46" s="24"/>
      <c r="I46" s="223" t="s">
        <v>189</v>
      </c>
      <c r="J46" s="27"/>
    </row>
    <row r="47" spans="1:11" ht="15.75" thickBot="1" x14ac:dyDescent="0.3">
      <c r="B47" s="189"/>
      <c r="C47" s="24"/>
      <c r="D47" s="24"/>
      <c r="E47" s="24"/>
      <c r="F47" s="24"/>
      <c r="G47" s="24"/>
      <c r="H47" s="24"/>
      <c r="I47" s="24"/>
      <c r="J47" s="27"/>
    </row>
    <row r="48" spans="1:11" x14ac:dyDescent="0.25">
      <c r="B48" s="189"/>
      <c r="C48" s="24"/>
      <c r="D48" s="184" t="s">
        <v>180</v>
      </c>
      <c r="E48" s="251"/>
      <c r="F48" s="251"/>
      <c r="G48" s="251">
        <f>-H44</f>
        <v>441000</v>
      </c>
      <c r="H48" s="252"/>
      <c r="I48" s="24"/>
      <c r="J48" s="27"/>
    </row>
    <row r="49" spans="2:10" ht="15.75" thickBot="1" x14ac:dyDescent="0.3">
      <c r="B49" s="189"/>
      <c r="C49" s="24"/>
      <c r="D49" s="253" t="s">
        <v>181</v>
      </c>
      <c r="E49" s="254"/>
      <c r="F49" s="254"/>
      <c r="G49" s="254"/>
      <c r="H49" s="255">
        <f>+G48</f>
        <v>441000</v>
      </c>
      <c r="I49" s="24"/>
      <c r="J49" s="27"/>
    </row>
    <row r="50" spans="2:10" ht="15.75" thickBot="1" x14ac:dyDescent="0.3">
      <c r="B50" s="189"/>
      <c r="C50" s="24"/>
      <c r="D50" s="24"/>
      <c r="E50" s="24"/>
      <c r="F50" s="24"/>
      <c r="G50" s="24"/>
      <c r="H50" s="24"/>
      <c r="I50" s="24"/>
      <c r="J50" s="27"/>
    </row>
    <row r="51" spans="2:10" x14ac:dyDescent="0.25">
      <c r="B51" s="189"/>
      <c r="C51" s="24"/>
      <c r="D51" s="184" t="s">
        <v>72</v>
      </c>
      <c r="E51" s="185"/>
      <c r="F51" s="185"/>
      <c r="G51" s="251">
        <f>+I45-C45</f>
        <v>27000</v>
      </c>
      <c r="H51" s="252"/>
      <c r="I51" s="24"/>
      <c r="J51" s="27"/>
    </row>
    <row r="52" spans="2:10" ht="15.75" thickBot="1" x14ac:dyDescent="0.3">
      <c r="B52" s="189"/>
      <c r="C52" s="24"/>
      <c r="D52" s="253" t="s">
        <v>84</v>
      </c>
      <c r="E52" s="225"/>
      <c r="F52" s="225"/>
      <c r="G52" s="254"/>
      <c r="H52" s="255">
        <f>+G51</f>
        <v>27000</v>
      </c>
      <c r="I52" s="24"/>
      <c r="J52" s="27"/>
    </row>
    <row r="53" spans="2:10" ht="15.75" thickBot="1" x14ac:dyDescent="0.3">
      <c r="B53" s="224"/>
      <c r="C53" s="225"/>
      <c r="D53" s="225"/>
      <c r="E53" s="225"/>
      <c r="F53" s="225"/>
      <c r="G53" s="225"/>
      <c r="H53" s="225"/>
      <c r="I53" s="225"/>
      <c r="J53" s="246"/>
    </row>
    <row r="54" spans="2:10" ht="15.75" thickBot="1" x14ac:dyDescent="0.3"/>
    <row r="55" spans="2:10" x14ac:dyDescent="0.25">
      <c r="B55" s="256" t="s">
        <v>190</v>
      </c>
      <c r="C55" s="257"/>
      <c r="D55" s="257" t="s">
        <v>191</v>
      </c>
      <c r="E55" s="257"/>
      <c r="F55" s="257"/>
      <c r="G55" s="257"/>
      <c r="H55" s="257">
        <f>+I43-C43</f>
        <v>90000</v>
      </c>
      <c r="I55" s="257"/>
      <c r="J55" s="258"/>
    </row>
    <row r="56" spans="2:10" x14ac:dyDescent="0.25">
      <c r="B56" s="259"/>
      <c r="C56" s="260"/>
      <c r="D56" s="260" t="s">
        <v>192</v>
      </c>
      <c r="E56" s="260"/>
      <c r="F56" s="260"/>
      <c r="G56" s="260"/>
      <c r="H56" s="260">
        <f>+H40+H41</f>
        <v>90000</v>
      </c>
      <c r="I56" s="260"/>
      <c r="J56" s="261"/>
    </row>
    <row r="57" spans="2:10" x14ac:dyDescent="0.25">
      <c r="B57" s="259"/>
      <c r="C57" s="260"/>
      <c r="D57" s="262" t="s">
        <v>193</v>
      </c>
      <c r="E57" s="262"/>
      <c r="F57" s="262"/>
      <c r="G57" s="262"/>
      <c r="H57" s="262">
        <f>+H55-H56</f>
        <v>0</v>
      </c>
      <c r="I57" s="260"/>
      <c r="J57" s="261"/>
    </row>
    <row r="58" spans="2:10" x14ac:dyDescent="0.25">
      <c r="B58" s="259"/>
      <c r="C58" s="260"/>
      <c r="D58" s="260"/>
      <c r="E58" s="260"/>
      <c r="F58" s="260"/>
      <c r="G58" s="260"/>
      <c r="H58" s="260"/>
      <c r="I58" s="260"/>
      <c r="J58" s="261"/>
    </row>
    <row r="59" spans="2:10" x14ac:dyDescent="0.25">
      <c r="B59" s="263" t="s">
        <v>194</v>
      </c>
      <c r="C59" s="260"/>
      <c r="D59" s="260" t="s">
        <v>195</v>
      </c>
      <c r="E59" s="260"/>
      <c r="F59" s="260"/>
      <c r="G59" s="260"/>
      <c r="H59" s="260">
        <f>(H40+H41)*K1</f>
        <v>27000</v>
      </c>
      <c r="I59" s="260"/>
      <c r="J59" s="261"/>
    </row>
    <row r="60" spans="2:10" x14ac:dyDescent="0.25">
      <c r="B60" s="259"/>
      <c r="C60" s="260"/>
      <c r="D60" s="260" t="s">
        <v>196</v>
      </c>
      <c r="E60" s="260"/>
      <c r="F60" s="260"/>
      <c r="G60" s="260"/>
      <c r="H60" s="260">
        <f>+I45-C45</f>
        <v>27000</v>
      </c>
      <c r="I60" s="260"/>
      <c r="J60" s="261"/>
    </row>
    <row r="61" spans="2:10" x14ac:dyDescent="0.25">
      <c r="B61" s="259"/>
      <c r="C61" s="260"/>
      <c r="D61" s="262" t="s">
        <v>193</v>
      </c>
      <c r="E61" s="262"/>
      <c r="F61" s="262"/>
      <c r="G61" s="262"/>
      <c r="H61" s="262">
        <f>+H59-H60</f>
        <v>0</v>
      </c>
      <c r="I61" s="260"/>
      <c r="J61" s="261"/>
    </row>
    <row r="62" spans="2:10" x14ac:dyDescent="0.25">
      <c r="B62" s="259"/>
      <c r="C62" s="260"/>
      <c r="D62" s="260"/>
      <c r="E62" s="260"/>
      <c r="F62" s="260"/>
      <c r="G62" s="260"/>
      <c r="H62" s="260"/>
      <c r="I62" s="260"/>
      <c r="J62" s="261"/>
    </row>
    <row r="63" spans="2:10" x14ac:dyDescent="0.25">
      <c r="B63" s="263" t="s">
        <v>197</v>
      </c>
      <c r="C63" s="260"/>
      <c r="D63" s="260" t="s">
        <v>198</v>
      </c>
      <c r="E63" s="260"/>
      <c r="F63" s="260"/>
      <c r="G63" s="260"/>
      <c r="H63" s="260">
        <f>-G48+H52</f>
        <v>-414000</v>
      </c>
      <c r="I63" s="260"/>
      <c r="J63" s="261"/>
    </row>
    <row r="64" spans="2:10" x14ac:dyDescent="0.25">
      <c r="B64" s="259"/>
      <c r="C64" s="260"/>
      <c r="D64" s="260" t="s">
        <v>199</v>
      </c>
      <c r="E64" s="260"/>
      <c r="F64" s="260"/>
      <c r="G64" s="260"/>
      <c r="H64" s="260">
        <f>-(H39+H42)*K1</f>
        <v>-414000</v>
      </c>
      <c r="I64" s="260"/>
      <c r="J64" s="261"/>
    </row>
    <row r="65" spans="2:10" ht="15.75" thickBot="1" x14ac:dyDescent="0.3">
      <c r="B65" s="264"/>
      <c r="C65" s="265"/>
      <c r="D65" s="266" t="s">
        <v>193</v>
      </c>
      <c r="E65" s="266"/>
      <c r="F65" s="266"/>
      <c r="G65" s="266"/>
      <c r="H65" s="266">
        <f>+H63-H64</f>
        <v>0</v>
      </c>
      <c r="I65" s="265"/>
      <c r="J65" s="267"/>
    </row>
    <row r="67" spans="2:10" ht="15.75" thickBot="1" x14ac:dyDescent="0.3"/>
    <row r="68" spans="2:10" x14ac:dyDescent="0.25">
      <c r="B68" s="256" t="s">
        <v>200</v>
      </c>
      <c r="C68" s="257"/>
      <c r="D68" s="257"/>
      <c r="E68" s="257"/>
      <c r="F68" s="258"/>
    </row>
    <row r="69" spans="2:10" x14ac:dyDescent="0.25">
      <c r="B69" s="189" t="s">
        <v>201</v>
      </c>
      <c r="C69" s="24"/>
      <c r="D69" s="24"/>
      <c r="E69" s="24"/>
      <c r="F69" s="27"/>
    </row>
    <row r="70" spans="2:10" x14ac:dyDescent="0.25">
      <c r="B70" s="189"/>
      <c r="C70" s="24"/>
      <c r="D70" s="24"/>
      <c r="E70" s="24"/>
      <c r="F70" s="27"/>
    </row>
    <row r="71" spans="2:10" x14ac:dyDescent="0.25">
      <c r="B71" s="189"/>
      <c r="C71" s="24" t="s">
        <v>202</v>
      </c>
      <c r="D71" s="24"/>
      <c r="E71" s="24">
        <v>100000</v>
      </c>
      <c r="F71" s="27"/>
    </row>
    <row r="72" spans="2:10" x14ac:dyDescent="0.25">
      <c r="B72" s="189"/>
      <c r="C72" s="24" t="s">
        <v>203</v>
      </c>
      <c r="D72" s="24"/>
      <c r="E72" s="24">
        <v>80000</v>
      </c>
      <c r="F72" s="27"/>
    </row>
    <row r="73" spans="2:10" x14ac:dyDescent="0.25">
      <c r="B73" s="189"/>
      <c r="C73" s="260"/>
      <c r="D73" s="260"/>
      <c r="E73" s="260">
        <f>+E72-E71</f>
        <v>-20000</v>
      </c>
      <c r="F73" s="27"/>
    </row>
    <row r="74" spans="2:10" x14ac:dyDescent="0.25">
      <c r="B74" s="189"/>
      <c r="C74" s="24"/>
      <c r="D74" s="24"/>
      <c r="E74" s="24"/>
      <c r="F74" s="27"/>
    </row>
    <row r="75" spans="2:10" x14ac:dyDescent="0.25">
      <c r="B75" s="189"/>
      <c r="C75" s="24" t="s">
        <v>202</v>
      </c>
      <c r="D75" s="24"/>
      <c r="E75" s="24">
        <v>100000</v>
      </c>
      <c r="F75" s="27" t="s">
        <v>204</v>
      </c>
    </row>
    <row r="76" spans="2:10" x14ac:dyDescent="0.25">
      <c r="B76" s="189"/>
      <c r="C76" s="24" t="s">
        <v>203</v>
      </c>
      <c r="D76" s="24"/>
      <c r="E76" s="24">
        <v>0</v>
      </c>
      <c r="F76" s="27"/>
    </row>
    <row r="77" spans="2:10" ht="15.75" thickBot="1" x14ac:dyDescent="0.3">
      <c r="B77" s="224"/>
      <c r="C77" s="265"/>
      <c r="D77" s="265"/>
      <c r="E77" s="265">
        <f>+E76-E75</f>
        <v>-100000</v>
      </c>
      <c r="F77" s="246"/>
    </row>
  </sheetData>
  <mergeCells count="1">
    <mergeCell ref="D37:H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</vt:lpstr>
      <vt:lpstr>0</vt:lpstr>
      <vt:lpstr>1</vt:lpstr>
      <vt:lpstr>2</vt:lpstr>
      <vt:lpstr>3</vt:lpstr>
      <vt:lpstr>4</vt:lpstr>
      <vt:lpstr>ID1</vt:lpstr>
      <vt:lpstr>ID2</vt:lpstr>
      <vt:lpstr>ID3</vt:lpstr>
      <vt:lpstr>12</vt:lpstr>
      <vt:lpstr>00</vt:lpstr>
      <vt:lpstr>11</vt:lpstr>
      <vt:lpstr>22</vt:lpstr>
      <vt:lpstr>33</vt:lpstr>
      <vt:lpstr>44 </vt:lpstr>
      <vt:lpstr>Hoja4</vt:lpstr>
      <vt:lpstr>ID1 (4)</vt:lpstr>
      <vt:lpstr>44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Freddy Llanto</cp:lastModifiedBy>
  <cp:lastPrinted>2023-08-25T02:23:56Z</cp:lastPrinted>
  <dcterms:created xsi:type="dcterms:W3CDTF">2015-06-05T18:19:34Z</dcterms:created>
  <dcterms:modified xsi:type="dcterms:W3CDTF">2024-05-09T02:40:37Z</dcterms:modified>
</cp:coreProperties>
</file>