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A5880D85-7191-4316-B646-11530BFE171E}" xr6:coauthVersionLast="47" xr6:coauthVersionMax="47" xr10:uidLastSave="{00000000-0000-0000-0000-000000000000}"/>
  <bookViews>
    <workbookView xWindow="-120" yWindow="-120" windowWidth="29040" windowHeight="15720" xr2:uid="{5F747512-6932-4620-B015-034E13178A09}"/>
  </bookViews>
  <sheets>
    <sheet name="Hoja1" sheetId="1" r:id="rId1"/>
    <sheet name="Hoja1 (2)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2" l="1"/>
  <c r="L37" i="2" s="1"/>
  <c r="L35" i="2"/>
  <c r="J37" i="2"/>
  <c r="AE13" i="2"/>
  <c r="AE12" i="2"/>
  <c r="AE11" i="2"/>
  <c r="O13" i="2"/>
  <c r="S13" i="2" s="1"/>
  <c r="O12" i="2"/>
  <c r="S12" i="2" s="1"/>
  <c r="O11" i="2"/>
  <c r="S11" i="2" s="1"/>
  <c r="M10" i="2"/>
  <c r="AD10" i="2" s="1"/>
  <c r="AE10" i="2" s="1"/>
  <c r="U22" i="2"/>
  <c r="Z12" i="2"/>
  <c r="Z13" i="2" s="1"/>
  <c r="Z14" i="2" s="1"/>
  <c r="Z15" i="2" s="1"/>
  <c r="Z16" i="2" s="1"/>
  <c r="Z17" i="2" s="1"/>
  <c r="Z18" i="2" s="1"/>
  <c r="Z19" i="2" s="1"/>
  <c r="Z20" i="2" s="1"/>
  <c r="Z21" i="2" s="1"/>
  <c r="Z22" i="2" s="1"/>
  <c r="Z23" i="2" s="1"/>
  <c r="Z24" i="2" s="1"/>
  <c r="Z25" i="2" s="1"/>
  <c r="Z26" i="2" s="1"/>
  <c r="Z27" i="2" s="1"/>
  <c r="Z28" i="2" s="1"/>
  <c r="P12" i="2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G12" i="2"/>
  <c r="G13" i="2" s="1"/>
  <c r="K10" i="2"/>
  <c r="BJ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AR19" i="1"/>
  <c r="AS17" i="1" s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S21" i="1"/>
  <c r="AD12" i="1"/>
  <c r="AD13" i="1"/>
  <c r="AD14" i="1"/>
  <c r="AD15" i="1"/>
  <c r="AD17" i="1"/>
  <c r="AD18" i="1"/>
  <c r="AD19" i="1"/>
  <c r="AD20" i="1"/>
  <c r="AD21" i="1"/>
  <c r="AD23" i="1"/>
  <c r="AD24" i="1"/>
  <c r="AD25" i="1"/>
  <c r="AD26" i="1"/>
  <c r="AD27" i="1"/>
  <c r="AD11" i="1"/>
  <c r="AR26" i="1" s="1"/>
  <c r="Z12" i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U22" i="1"/>
  <c r="P12" i="1"/>
  <c r="M16" i="1"/>
  <c r="M22" i="1" s="1"/>
  <c r="M28" i="1" s="1"/>
  <c r="AD28" i="1" s="1"/>
  <c r="K10" i="1"/>
  <c r="O10" i="1" s="1"/>
  <c r="Q11" i="1" s="1"/>
  <c r="G12" i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I11" i="1" s="1"/>
  <c r="AB11" i="1" s="1"/>
  <c r="AR24" i="1" s="1"/>
  <c r="O10" i="2" l="1"/>
  <c r="Q11" i="2" s="1"/>
  <c r="AF10" i="2"/>
  <c r="G14" i="2"/>
  <c r="U26" i="2"/>
  <c r="AT21" i="1"/>
  <c r="AS26" i="1"/>
  <c r="H24" i="1"/>
  <c r="H12" i="1"/>
  <c r="I20" i="1"/>
  <c r="AB20" i="1" s="1"/>
  <c r="I28" i="1"/>
  <c r="AB28" i="1" s="1"/>
  <c r="H28" i="1"/>
  <c r="J28" i="1" s="1"/>
  <c r="L28" i="1" s="1"/>
  <c r="I24" i="1"/>
  <c r="AB24" i="1" s="1"/>
  <c r="W11" i="1"/>
  <c r="X12" i="1" s="1"/>
  <c r="Y12" i="1" s="1"/>
  <c r="H20" i="1"/>
  <c r="P13" i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U26" i="1"/>
  <c r="AD22" i="1"/>
  <c r="I16" i="1"/>
  <c r="AB16" i="1" s="1"/>
  <c r="H16" i="1"/>
  <c r="I12" i="1"/>
  <c r="AB12" i="1" s="1"/>
  <c r="AS24" i="1" s="1"/>
  <c r="AD16" i="1"/>
  <c r="I19" i="1"/>
  <c r="AB19" i="1" s="1"/>
  <c r="H27" i="1"/>
  <c r="I26" i="1"/>
  <c r="AB26" i="1" s="1"/>
  <c r="I22" i="1"/>
  <c r="AB22" i="1" s="1"/>
  <c r="I18" i="1"/>
  <c r="AB18" i="1" s="1"/>
  <c r="I14" i="1"/>
  <c r="AB14" i="1" s="1"/>
  <c r="H14" i="1"/>
  <c r="I27" i="1"/>
  <c r="AB27" i="1" s="1"/>
  <c r="I15" i="1"/>
  <c r="AB15" i="1" s="1"/>
  <c r="H19" i="1"/>
  <c r="H22" i="1"/>
  <c r="I17" i="1"/>
  <c r="AB17" i="1" s="1"/>
  <c r="I23" i="1"/>
  <c r="AB23" i="1" s="1"/>
  <c r="H23" i="1"/>
  <c r="H15" i="1"/>
  <c r="H26" i="1"/>
  <c r="AI25" i="1" s="1"/>
  <c r="H18" i="1"/>
  <c r="H11" i="1"/>
  <c r="J11" i="1" s="1"/>
  <c r="I25" i="1"/>
  <c r="AB25" i="1" s="1"/>
  <c r="I21" i="1"/>
  <c r="AB21" i="1" s="1"/>
  <c r="I13" i="1"/>
  <c r="AB13" i="1" s="1"/>
  <c r="H25" i="1"/>
  <c r="H21" i="1"/>
  <c r="H17" i="1"/>
  <c r="H13" i="1"/>
  <c r="AG10" i="2" l="1"/>
  <c r="U30" i="2"/>
  <c r="G15" i="2"/>
  <c r="W11" i="2"/>
  <c r="X12" i="2" s="1"/>
  <c r="Y12" i="2" s="1"/>
  <c r="AI27" i="1"/>
  <c r="N28" i="1"/>
  <c r="J12" i="1"/>
  <c r="N12" i="1" s="1"/>
  <c r="AC12" i="1" s="1"/>
  <c r="AS25" i="1" s="1"/>
  <c r="AU21" i="1"/>
  <c r="AT24" i="1"/>
  <c r="AT26" i="1"/>
  <c r="AI13" i="1"/>
  <c r="J24" i="1"/>
  <c r="AI14" i="1"/>
  <c r="L12" i="1"/>
  <c r="O12" i="1" s="1"/>
  <c r="S12" i="1" s="1"/>
  <c r="X20" i="1" s="1"/>
  <c r="AI21" i="1"/>
  <c r="J23" i="1"/>
  <c r="L23" i="1" s="1"/>
  <c r="AI22" i="1"/>
  <c r="AI16" i="1"/>
  <c r="J16" i="1"/>
  <c r="AI15" i="1"/>
  <c r="J27" i="1"/>
  <c r="L27" i="1" s="1"/>
  <c r="AI26" i="1"/>
  <c r="J25" i="1"/>
  <c r="L25" i="1" s="1"/>
  <c r="AI24" i="1"/>
  <c r="J19" i="1"/>
  <c r="N19" i="1" s="1"/>
  <c r="AC19" i="1" s="1"/>
  <c r="AE19" i="1" s="1"/>
  <c r="AI18" i="1"/>
  <c r="O28" i="1"/>
  <c r="S28" i="1" s="1"/>
  <c r="AC28" i="1"/>
  <c r="AE28" i="1" s="1"/>
  <c r="J20" i="1"/>
  <c r="AI19" i="1"/>
  <c r="J21" i="1"/>
  <c r="N21" i="1" s="1"/>
  <c r="AC21" i="1" s="1"/>
  <c r="AE21" i="1" s="1"/>
  <c r="AI20" i="1"/>
  <c r="U30" i="1"/>
  <c r="AI17" i="1"/>
  <c r="J13" i="1"/>
  <c r="N13" i="1" s="1"/>
  <c r="AC13" i="1" s="1"/>
  <c r="AI11" i="1"/>
  <c r="AI12" i="1"/>
  <c r="AE12" i="1"/>
  <c r="AI23" i="1"/>
  <c r="J22" i="1"/>
  <c r="N11" i="1"/>
  <c r="AC11" i="1" s="1"/>
  <c r="L11" i="1"/>
  <c r="J17" i="1"/>
  <c r="J18" i="1"/>
  <c r="J26" i="1"/>
  <c r="J14" i="1"/>
  <c r="J15" i="1"/>
  <c r="U34" i="2" l="1"/>
  <c r="G16" i="2"/>
  <c r="AE13" i="1"/>
  <c r="AT25" i="1"/>
  <c r="AE11" i="1"/>
  <c r="AR25" i="1"/>
  <c r="AV21" i="1"/>
  <c r="AU24" i="1"/>
  <c r="AU26" i="1"/>
  <c r="L13" i="1"/>
  <c r="O13" i="1" s="1"/>
  <c r="S13" i="1" s="1"/>
  <c r="X24" i="1" s="1"/>
  <c r="N27" i="1"/>
  <c r="AC27" i="1" s="1"/>
  <c r="AE27" i="1" s="1"/>
  <c r="N25" i="1"/>
  <c r="AC25" i="1" s="1"/>
  <c r="AE25" i="1" s="1"/>
  <c r="L21" i="1"/>
  <c r="O21" i="1" s="1"/>
  <c r="S21" i="1" s="1"/>
  <c r="O11" i="1"/>
  <c r="S11" i="1" s="1"/>
  <c r="X16" i="1" s="1"/>
  <c r="L24" i="1"/>
  <c r="N24" i="1"/>
  <c r="AC24" i="1" s="1"/>
  <c r="AE24" i="1" s="1"/>
  <c r="U34" i="1"/>
  <c r="L20" i="1"/>
  <c r="N20" i="1"/>
  <c r="AC20" i="1" s="1"/>
  <c r="AE20" i="1" s="1"/>
  <c r="N23" i="1"/>
  <c r="AC23" i="1" s="1"/>
  <c r="AE23" i="1" s="1"/>
  <c r="L19" i="1"/>
  <c r="O19" i="1" s="1"/>
  <c r="S19" i="1" s="1"/>
  <c r="L16" i="1"/>
  <c r="N16" i="1"/>
  <c r="N26" i="1"/>
  <c r="AC26" i="1" s="1"/>
  <c r="AE26" i="1" s="1"/>
  <c r="L26" i="1"/>
  <c r="N18" i="1"/>
  <c r="AC18" i="1" s="1"/>
  <c r="AE18" i="1" s="1"/>
  <c r="L18" i="1"/>
  <c r="L22" i="1"/>
  <c r="N22" i="1"/>
  <c r="AC22" i="1" s="1"/>
  <c r="AE22" i="1" s="1"/>
  <c r="L14" i="1"/>
  <c r="N14" i="1"/>
  <c r="AC14" i="1" s="1"/>
  <c r="AE14" i="1" s="1"/>
  <c r="L17" i="1"/>
  <c r="N17" i="1"/>
  <c r="AC17" i="1" s="1"/>
  <c r="AE17" i="1" s="1"/>
  <c r="N15" i="1"/>
  <c r="AC15" i="1" s="1"/>
  <c r="AE15" i="1" s="1"/>
  <c r="L15" i="1"/>
  <c r="O25" i="1"/>
  <c r="S25" i="1" s="1"/>
  <c r="G17" i="2" l="1"/>
  <c r="U38" i="2"/>
  <c r="O18" i="1"/>
  <c r="S18" i="1" s="1"/>
  <c r="AU25" i="1"/>
  <c r="AW21" i="1"/>
  <c r="AV26" i="1"/>
  <c r="AV24" i="1"/>
  <c r="AV25" i="1"/>
  <c r="O15" i="1"/>
  <c r="S15" i="1" s="1"/>
  <c r="X32" i="1" s="1"/>
  <c r="O27" i="1"/>
  <c r="S27" i="1" s="1"/>
  <c r="O17" i="1"/>
  <c r="S17" i="1" s="1"/>
  <c r="O23" i="1"/>
  <c r="S23" i="1" s="1"/>
  <c r="O24" i="1"/>
  <c r="S24" i="1" s="1"/>
  <c r="O14" i="1"/>
  <c r="S14" i="1" s="1"/>
  <c r="X28" i="1" s="1"/>
  <c r="U38" i="1"/>
  <c r="O20" i="1"/>
  <c r="S20" i="1" s="1"/>
  <c r="O16" i="1"/>
  <c r="S16" i="1" s="1"/>
  <c r="X36" i="1" s="1"/>
  <c r="AC16" i="1"/>
  <c r="AE16" i="1" s="1"/>
  <c r="O22" i="1"/>
  <c r="S22" i="1" s="1"/>
  <c r="AE29" i="1"/>
  <c r="O26" i="1"/>
  <c r="G18" i="2" l="1"/>
  <c r="U42" i="2"/>
  <c r="AX21" i="1"/>
  <c r="AW26" i="1"/>
  <c r="AW24" i="1"/>
  <c r="AW25" i="1"/>
  <c r="O9" i="1"/>
  <c r="R11" i="1" s="1"/>
  <c r="S26" i="1"/>
  <c r="X40" i="1"/>
  <c r="U42" i="1"/>
  <c r="G19" i="2" l="1"/>
  <c r="U46" i="2"/>
  <c r="AY21" i="1"/>
  <c r="AX25" i="1"/>
  <c r="AX24" i="1"/>
  <c r="AX26" i="1"/>
  <c r="U46" i="1"/>
  <c r="X44" i="1"/>
  <c r="AA11" i="1"/>
  <c r="AR23" i="1" s="1"/>
  <c r="AR27" i="1" s="1"/>
  <c r="AR28" i="1" s="1"/>
  <c r="AR9" i="1" s="1"/>
  <c r="AR11" i="1" s="1"/>
  <c r="W15" i="1"/>
  <c r="W14" i="1" s="1"/>
  <c r="Y14" i="1" s="1"/>
  <c r="T11" i="1"/>
  <c r="U50" i="2" l="1"/>
  <c r="G20" i="2"/>
  <c r="AZ21" i="1"/>
  <c r="AY25" i="1"/>
  <c r="AY24" i="1"/>
  <c r="AY26" i="1"/>
  <c r="AF11" i="1"/>
  <c r="Q12" i="1"/>
  <c r="AJ11" i="1"/>
  <c r="AK11" i="1" s="1"/>
  <c r="AL11" i="1" s="1"/>
  <c r="AM11" i="1" s="1"/>
  <c r="X48" i="1"/>
  <c r="U50" i="1"/>
  <c r="G21" i="2" l="1"/>
  <c r="U54" i="2"/>
  <c r="BA21" i="1"/>
  <c r="AZ25" i="1"/>
  <c r="AZ24" i="1"/>
  <c r="AZ26" i="1"/>
  <c r="R12" i="1"/>
  <c r="X52" i="1"/>
  <c r="U54" i="1"/>
  <c r="AG11" i="1"/>
  <c r="U58" i="2" l="1"/>
  <c r="G22" i="2"/>
  <c r="BB21" i="1"/>
  <c r="BA25" i="1"/>
  <c r="BA24" i="1"/>
  <c r="BA26" i="1"/>
  <c r="X56" i="1"/>
  <c r="U58" i="1"/>
  <c r="AA12" i="1"/>
  <c r="AS23" i="1" s="1"/>
  <c r="AS27" i="1" s="1"/>
  <c r="AS28" i="1" s="1"/>
  <c r="AS9" i="1" s="1"/>
  <c r="AS11" i="1" s="1"/>
  <c r="W19" i="1"/>
  <c r="W18" i="1" s="1"/>
  <c r="Y18" i="1" s="1"/>
  <c r="T12" i="1"/>
  <c r="G23" i="2" l="1"/>
  <c r="U62" i="2"/>
  <c r="BC21" i="1"/>
  <c r="BB25" i="1"/>
  <c r="BB24" i="1"/>
  <c r="BB26" i="1"/>
  <c r="Q13" i="1"/>
  <c r="AJ12" i="1"/>
  <c r="AK12" i="1" s="1"/>
  <c r="AL12" i="1" s="1"/>
  <c r="AM12" i="1" s="1"/>
  <c r="AF12" i="1"/>
  <c r="X60" i="1"/>
  <c r="U62" i="1"/>
  <c r="G24" i="2" l="1"/>
  <c r="U66" i="2"/>
  <c r="BD21" i="1"/>
  <c r="BC24" i="1"/>
  <c r="BC25" i="1"/>
  <c r="BC26" i="1"/>
  <c r="U66" i="1"/>
  <c r="X64" i="1"/>
  <c r="AG12" i="1"/>
  <c r="R13" i="1"/>
  <c r="T13" i="1" s="1"/>
  <c r="U70" i="2" l="1"/>
  <c r="G25" i="2"/>
  <c r="I24" i="2" s="1"/>
  <c r="AB27" i="2" s="1"/>
  <c r="BE21" i="1"/>
  <c r="BD24" i="1"/>
  <c r="BD26" i="1"/>
  <c r="BD25" i="1"/>
  <c r="AJ13" i="1"/>
  <c r="AK13" i="1" s="1"/>
  <c r="AL13" i="1" s="1"/>
  <c r="AM13" i="1" s="1"/>
  <c r="Q14" i="1"/>
  <c r="AA13" i="1"/>
  <c r="AT23" i="1" s="1"/>
  <c r="AT27" i="1" s="1"/>
  <c r="AT28" i="1" s="1"/>
  <c r="AT9" i="1" s="1"/>
  <c r="AT11" i="1" s="1"/>
  <c r="W23" i="1"/>
  <c r="W22" i="1" s="1"/>
  <c r="Y22" i="1" s="1"/>
  <c r="X68" i="1"/>
  <c r="U70" i="1"/>
  <c r="H24" i="2" l="1"/>
  <c r="J24" i="2" s="1"/>
  <c r="L27" i="2" s="1"/>
  <c r="H25" i="2"/>
  <c r="I25" i="2"/>
  <c r="AB28" i="2" s="1"/>
  <c r="I11" i="2"/>
  <c r="AB14" i="2" s="1"/>
  <c r="H11" i="2"/>
  <c r="G26" i="2"/>
  <c r="G27" i="2" s="1"/>
  <c r="G28" i="2" s="1"/>
  <c r="H13" i="2"/>
  <c r="I13" i="2"/>
  <c r="AB16" i="2" s="1"/>
  <c r="I12" i="2"/>
  <c r="AB15" i="2" s="1"/>
  <c r="H12" i="2"/>
  <c r="H14" i="2"/>
  <c r="I14" i="2"/>
  <c r="AB17" i="2" s="1"/>
  <c r="H15" i="2"/>
  <c r="I15" i="2"/>
  <c r="AB18" i="2" s="1"/>
  <c r="H16" i="2"/>
  <c r="I16" i="2"/>
  <c r="AB19" i="2" s="1"/>
  <c r="I17" i="2"/>
  <c r="AB20" i="2" s="1"/>
  <c r="H17" i="2"/>
  <c r="H18" i="2"/>
  <c r="I18" i="2"/>
  <c r="AB21" i="2" s="1"/>
  <c r="H19" i="2"/>
  <c r="I19" i="2"/>
  <c r="AB22" i="2" s="1"/>
  <c r="I20" i="2"/>
  <c r="AB23" i="2" s="1"/>
  <c r="H20" i="2"/>
  <c r="H21" i="2"/>
  <c r="I21" i="2"/>
  <c r="AB24" i="2" s="1"/>
  <c r="H22" i="2"/>
  <c r="I22" i="2"/>
  <c r="AB25" i="2" s="1"/>
  <c r="I23" i="2"/>
  <c r="AB26" i="2" s="1"/>
  <c r="H23" i="2"/>
  <c r="U74" i="2"/>
  <c r="BF21" i="1"/>
  <c r="BE26" i="1"/>
  <c r="BE25" i="1"/>
  <c r="BE24" i="1"/>
  <c r="X72" i="1"/>
  <c r="U74" i="1"/>
  <c r="AF13" i="1"/>
  <c r="R14" i="1"/>
  <c r="J12" i="2" l="1"/>
  <c r="L15" i="2" s="1"/>
  <c r="J23" i="2"/>
  <c r="L26" i="2" s="1"/>
  <c r="N26" i="2" s="1"/>
  <c r="AC26" i="2" s="1"/>
  <c r="AE26" i="2" s="1"/>
  <c r="J17" i="2"/>
  <c r="L20" i="2" s="1"/>
  <c r="N20" i="2" s="1"/>
  <c r="AC20" i="2" s="1"/>
  <c r="AE20" i="2" s="1"/>
  <c r="J14" i="2"/>
  <c r="L17" i="2" s="1"/>
  <c r="N17" i="2" s="1"/>
  <c r="J19" i="2"/>
  <c r="L22" i="2" s="1"/>
  <c r="J13" i="2"/>
  <c r="L16" i="2" s="1"/>
  <c r="J25" i="2"/>
  <c r="L28" i="2" s="1"/>
  <c r="J18" i="2"/>
  <c r="L21" i="2" s="1"/>
  <c r="J22" i="2"/>
  <c r="L25" i="2" s="1"/>
  <c r="J21" i="2"/>
  <c r="L24" i="2" s="1"/>
  <c r="J15" i="2"/>
  <c r="L18" i="2" s="1"/>
  <c r="N27" i="2"/>
  <c r="AC27" i="2" s="1"/>
  <c r="AE27" i="2" s="1"/>
  <c r="N15" i="2"/>
  <c r="AC15" i="2" s="1"/>
  <c r="AE15" i="2" s="1"/>
  <c r="J16" i="2"/>
  <c r="L19" i="2" s="1"/>
  <c r="J20" i="2"/>
  <c r="L23" i="2" s="1"/>
  <c r="U78" i="2"/>
  <c r="BG21" i="1"/>
  <c r="BF24" i="1"/>
  <c r="BF26" i="1"/>
  <c r="BF25" i="1"/>
  <c r="AA14" i="1"/>
  <c r="AU23" i="1" s="1"/>
  <c r="AU27" i="1" s="1"/>
  <c r="AU28" i="1" s="1"/>
  <c r="AU9" i="1" s="1"/>
  <c r="AU11" i="1" s="1"/>
  <c r="W27" i="1"/>
  <c r="W26" i="1" s="1"/>
  <c r="Y26" i="1" s="1"/>
  <c r="T14" i="1"/>
  <c r="AG13" i="1"/>
  <c r="X76" i="1"/>
  <c r="U78" i="1"/>
  <c r="O26" i="2" l="1"/>
  <c r="S26" i="2" s="1"/>
  <c r="AC17" i="2"/>
  <c r="AE17" i="2" s="1"/>
  <c r="O17" i="2"/>
  <c r="S17" i="2" s="1"/>
  <c r="O27" i="2"/>
  <c r="S27" i="2" s="1"/>
  <c r="N21" i="2"/>
  <c r="AC21" i="2" s="1"/>
  <c r="AE21" i="2" s="1"/>
  <c r="N18" i="2"/>
  <c r="AC18" i="2" s="1"/>
  <c r="AE18" i="2" s="1"/>
  <c r="N28" i="2"/>
  <c r="AC28" i="2" s="1"/>
  <c r="AE28" i="2" s="1"/>
  <c r="O28" i="2"/>
  <c r="S28" i="2" s="1"/>
  <c r="N19" i="2"/>
  <c r="AC19" i="2" s="1"/>
  <c r="AE19" i="2" s="1"/>
  <c r="N16" i="2"/>
  <c r="AC16" i="2" s="1"/>
  <c r="N22" i="2"/>
  <c r="AC22" i="2" s="1"/>
  <c r="AE22" i="2" s="1"/>
  <c r="N25" i="2"/>
  <c r="AC25" i="2" s="1"/>
  <c r="AE25" i="2" s="1"/>
  <c r="O20" i="2"/>
  <c r="S20" i="2" s="1"/>
  <c r="N23" i="2"/>
  <c r="AC23" i="2" s="1"/>
  <c r="AE23" i="2" s="1"/>
  <c r="N24" i="2"/>
  <c r="AC24" i="2" s="1"/>
  <c r="AE24" i="2" s="1"/>
  <c r="O15" i="2"/>
  <c r="S15" i="2" s="1"/>
  <c r="U82" i="2"/>
  <c r="BH21" i="1"/>
  <c r="BG24" i="1"/>
  <c r="BG26" i="1"/>
  <c r="BG25" i="1"/>
  <c r="X80" i="1"/>
  <c r="U82" i="1"/>
  <c r="Q15" i="1"/>
  <c r="AJ14" i="1"/>
  <c r="AK14" i="1" s="1"/>
  <c r="AL14" i="1" s="1"/>
  <c r="AM14" i="1" s="1"/>
  <c r="AF14" i="1"/>
  <c r="O16" i="2" l="1"/>
  <c r="S16" i="2" s="1"/>
  <c r="O25" i="2"/>
  <c r="S25" i="2" s="1"/>
  <c r="O22" i="2"/>
  <c r="S22" i="2" s="1"/>
  <c r="O19" i="2"/>
  <c r="S19" i="2" s="1"/>
  <c r="O24" i="2"/>
  <c r="S24" i="2" s="1"/>
  <c r="O23" i="2"/>
  <c r="S23" i="2" s="1"/>
  <c r="O18" i="2"/>
  <c r="S18" i="2" s="1"/>
  <c r="O21" i="2"/>
  <c r="S21" i="2" s="1"/>
  <c r="BI21" i="1"/>
  <c r="BH26" i="1"/>
  <c r="BH24" i="1"/>
  <c r="BH25" i="1"/>
  <c r="AG14" i="1"/>
  <c r="R15" i="1"/>
  <c r="T15" i="1" s="1"/>
  <c r="X84" i="1"/>
  <c r="J11" i="2" l="1"/>
  <c r="L14" i="2" s="1"/>
  <c r="BI26" i="1"/>
  <c r="BI24" i="1"/>
  <c r="BI25" i="1"/>
  <c r="Q16" i="1"/>
  <c r="AJ15" i="1"/>
  <c r="AK15" i="1" s="1"/>
  <c r="AL15" i="1" s="1"/>
  <c r="AM15" i="1" s="1"/>
  <c r="AA15" i="1"/>
  <c r="AV23" i="1" s="1"/>
  <c r="AV27" i="1" s="1"/>
  <c r="AV28" i="1" s="1"/>
  <c r="AV9" i="1" s="1"/>
  <c r="AV11" i="1" s="1"/>
  <c r="W31" i="1"/>
  <c r="W30" i="1" s="1"/>
  <c r="Y30" i="1" s="1"/>
  <c r="N14" i="2" l="1"/>
  <c r="AC14" i="2" s="1"/>
  <c r="AE14" i="2" s="1"/>
  <c r="X76" i="2"/>
  <c r="X20" i="2"/>
  <c r="X44" i="2"/>
  <c r="X68" i="2"/>
  <c r="X80" i="2"/>
  <c r="X24" i="2"/>
  <c r="X32" i="2"/>
  <c r="X64" i="2"/>
  <c r="AF15" i="1"/>
  <c r="R16" i="1"/>
  <c r="O14" i="2" l="1"/>
  <c r="S14" i="2" s="1"/>
  <c r="X28" i="2" s="1"/>
  <c r="X48" i="2"/>
  <c r="X56" i="2"/>
  <c r="X36" i="2"/>
  <c r="X60" i="2"/>
  <c r="X84" i="2"/>
  <c r="X40" i="2"/>
  <c r="AE16" i="2"/>
  <c r="AE29" i="2" s="1"/>
  <c r="X72" i="2"/>
  <c r="X52" i="2"/>
  <c r="AA16" i="1"/>
  <c r="W35" i="1"/>
  <c r="W34" i="1" s="1"/>
  <c r="Y34" i="1" s="1"/>
  <c r="T16" i="1"/>
  <c r="AG15" i="1"/>
  <c r="X16" i="2" l="1"/>
  <c r="O9" i="2"/>
  <c r="R11" i="2" s="1"/>
  <c r="T11" i="2" s="1"/>
  <c r="Q12" i="2" s="1"/>
  <c r="AF16" i="1"/>
  <c r="AG16" i="1" s="1"/>
  <c r="AW23" i="1"/>
  <c r="AW27" i="1" s="1"/>
  <c r="AW28" i="1" s="1"/>
  <c r="AW9" i="1" s="1"/>
  <c r="AW11" i="1" s="1"/>
  <c r="Q17" i="1"/>
  <c r="AJ16" i="1"/>
  <c r="AK16" i="1" s="1"/>
  <c r="AL16" i="1" s="1"/>
  <c r="AM16" i="1" s="1"/>
  <c r="R12" i="2" l="1"/>
  <c r="T12" i="2" s="1"/>
  <c r="Q13" i="2" s="1"/>
  <c r="W15" i="2"/>
  <c r="X14" i="2" s="1"/>
  <c r="Y14" i="2" s="1"/>
  <c r="AA11" i="2"/>
  <c r="R17" i="1"/>
  <c r="R13" i="2" l="1"/>
  <c r="T13" i="2" s="1"/>
  <c r="Q14" i="2" s="1"/>
  <c r="R14" i="2" s="1"/>
  <c r="T14" i="2" s="1"/>
  <c r="Q15" i="2" s="1"/>
  <c r="AF11" i="2"/>
  <c r="AA17" i="1"/>
  <c r="W39" i="1"/>
  <c r="W38" i="1" s="1"/>
  <c r="Y38" i="1" s="1"/>
  <c r="T17" i="1"/>
  <c r="R15" i="2" l="1"/>
  <c r="T15" i="2" s="1"/>
  <c r="Q16" i="2" s="1"/>
  <c r="R16" i="2" s="1"/>
  <c r="T16" i="2" s="1"/>
  <c r="Q17" i="2" s="1"/>
  <c r="R17" i="2" s="1"/>
  <c r="T17" i="2" s="1"/>
  <c r="Q18" i="2" s="1"/>
  <c r="R18" i="2" s="1"/>
  <c r="T18" i="2" s="1"/>
  <c r="Q19" i="2" s="1"/>
  <c r="AG11" i="2"/>
  <c r="AF17" i="1"/>
  <c r="AG17" i="1" s="1"/>
  <c r="AX23" i="1"/>
  <c r="AX27" i="1" s="1"/>
  <c r="AX28" i="1" s="1"/>
  <c r="AX9" i="1" s="1"/>
  <c r="AX11" i="1" s="1"/>
  <c r="Q18" i="1"/>
  <c r="AJ17" i="1"/>
  <c r="AK17" i="1" s="1"/>
  <c r="AL17" i="1" s="1"/>
  <c r="AM17" i="1" s="1"/>
  <c r="R19" i="2" l="1"/>
  <c r="T19" i="2" s="1"/>
  <c r="Q20" i="2" s="1"/>
  <c r="AA12" i="2"/>
  <c r="W19" i="2"/>
  <c r="X18" i="2" s="1"/>
  <c r="Y18" i="2" s="1"/>
  <c r="R18" i="1"/>
  <c r="R20" i="2" l="1"/>
  <c r="T20" i="2" s="1"/>
  <c r="Q21" i="2" s="1"/>
  <c r="AF12" i="2"/>
  <c r="AA18" i="1"/>
  <c r="W43" i="1"/>
  <c r="W42" i="1" s="1"/>
  <c r="Y42" i="1" s="1"/>
  <c r="T18" i="1"/>
  <c r="AG12" i="2" l="1"/>
  <c r="R21" i="2"/>
  <c r="T21" i="2" s="1"/>
  <c r="Q22" i="2" s="1"/>
  <c r="R22" i="2" s="1"/>
  <c r="T22" i="2" s="1"/>
  <c r="Q23" i="2" s="1"/>
  <c r="R23" i="2" s="1"/>
  <c r="T23" i="2" s="1"/>
  <c r="Q24" i="2" s="1"/>
  <c r="AA13" i="2"/>
  <c r="W23" i="2"/>
  <c r="X22" i="2" s="1"/>
  <c r="Y22" i="2" s="1"/>
  <c r="AF18" i="1"/>
  <c r="AG18" i="1" s="1"/>
  <c r="AY23" i="1"/>
  <c r="AY27" i="1" s="1"/>
  <c r="AY28" i="1" s="1"/>
  <c r="AY9" i="1" s="1"/>
  <c r="AY11" i="1" s="1"/>
  <c r="Q19" i="1"/>
  <c r="R19" i="1" s="1"/>
  <c r="AJ18" i="1"/>
  <c r="AK18" i="1" s="1"/>
  <c r="AL18" i="1" s="1"/>
  <c r="AM18" i="1" s="1"/>
  <c r="R24" i="2" l="1"/>
  <c r="T24" i="2" s="1"/>
  <c r="Q25" i="2" s="1"/>
  <c r="AF13" i="2"/>
  <c r="T19" i="1"/>
  <c r="AA19" i="1"/>
  <c r="W47" i="1"/>
  <c r="W46" i="1" s="1"/>
  <c r="Y46" i="1" s="1"/>
  <c r="AG13" i="2" l="1"/>
  <c r="R25" i="2"/>
  <c r="T25" i="2" s="1"/>
  <c r="Q26" i="2" s="1"/>
  <c r="R26" i="2" s="1"/>
  <c r="T26" i="2" s="1"/>
  <c r="Q27" i="2" s="1"/>
  <c r="AF19" i="1"/>
  <c r="AG19" i="1" s="1"/>
  <c r="AZ23" i="1"/>
  <c r="AZ27" i="1" s="1"/>
  <c r="AZ28" i="1" s="1"/>
  <c r="AZ9" i="1" s="1"/>
  <c r="AZ11" i="1" s="1"/>
  <c r="Q20" i="1"/>
  <c r="AJ19" i="1"/>
  <c r="AK19" i="1" s="1"/>
  <c r="AL19" i="1" s="1"/>
  <c r="AM19" i="1" s="1"/>
  <c r="R27" i="2" l="1"/>
  <c r="T27" i="2" s="1"/>
  <c r="Q28" i="2" s="1"/>
  <c r="R28" i="2" s="1"/>
  <c r="T28" i="2" s="1"/>
  <c r="AA14" i="2"/>
  <c r="W27" i="2"/>
  <c r="W26" i="2" s="1"/>
  <c r="Y26" i="2" s="1"/>
  <c r="R20" i="1"/>
  <c r="T20" i="1" s="1"/>
  <c r="AF14" i="2" l="1"/>
  <c r="AG14" i="2" s="1"/>
  <c r="Q21" i="1"/>
  <c r="AJ20" i="1"/>
  <c r="AK20" i="1" s="1"/>
  <c r="AL20" i="1" s="1"/>
  <c r="AM20" i="1" s="1"/>
  <c r="AA20" i="1"/>
  <c r="W51" i="1"/>
  <c r="W50" i="1" s="1"/>
  <c r="Y50" i="1" s="1"/>
  <c r="AA15" i="2" l="1"/>
  <c r="W31" i="2"/>
  <c r="W30" i="2" s="1"/>
  <c r="Y30" i="2" s="1"/>
  <c r="AF20" i="1"/>
  <c r="AG20" i="1" s="1"/>
  <c r="BA23" i="1"/>
  <c r="BA27" i="1" s="1"/>
  <c r="BA28" i="1" s="1"/>
  <c r="BA9" i="1" s="1"/>
  <c r="BA11" i="1" s="1"/>
  <c r="R21" i="1"/>
  <c r="T21" i="1" s="1"/>
  <c r="AF15" i="2" l="1"/>
  <c r="AG15" i="2" s="1"/>
  <c r="Q22" i="1"/>
  <c r="R22" i="1" s="1"/>
  <c r="AJ21" i="1"/>
  <c r="AK21" i="1" s="1"/>
  <c r="AL21" i="1" s="1"/>
  <c r="AM21" i="1" s="1"/>
  <c r="AA21" i="1"/>
  <c r="W55" i="1"/>
  <c r="W54" i="1" s="1"/>
  <c r="Y54" i="1" s="1"/>
  <c r="AA16" i="2" l="1"/>
  <c r="W35" i="2"/>
  <c r="W34" i="2" s="1"/>
  <c r="Y34" i="2" s="1"/>
  <c r="AF21" i="1"/>
  <c r="AG21" i="1" s="1"/>
  <c r="BB23" i="1"/>
  <c r="BB27" i="1" s="1"/>
  <c r="BB28" i="1" s="1"/>
  <c r="BB9" i="1" s="1"/>
  <c r="BB11" i="1" s="1"/>
  <c r="T22" i="1"/>
  <c r="AA22" i="1"/>
  <c r="W59" i="1"/>
  <c r="W58" i="1" s="1"/>
  <c r="Y58" i="1" s="1"/>
  <c r="AF16" i="2" l="1"/>
  <c r="AG16" i="2" s="1"/>
  <c r="AF22" i="1"/>
  <c r="AG22" i="1" s="1"/>
  <c r="BC23" i="1"/>
  <c r="BC27" i="1" s="1"/>
  <c r="BC28" i="1" s="1"/>
  <c r="BC9" i="1" s="1"/>
  <c r="BC11" i="1" s="1"/>
  <c r="Q23" i="1"/>
  <c r="AJ22" i="1"/>
  <c r="AK22" i="1" s="1"/>
  <c r="AL22" i="1" s="1"/>
  <c r="AM22" i="1" s="1"/>
  <c r="AA17" i="2" l="1"/>
  <c r="W39" i="2"/>
  <c r="W38" i="2" s="1"/>
  <c r="Y38" i="2" s="1"/>
  <c r="R23" i="1"/>
  <c r="AF17" i="2" l="1"/>
  <c r="AG17" i="2" s="1"/>
  <c r="AA23" i="1"/>
  <c r="W63" i="1"/>
  <c r="W62" i="1" s="1"/>
  <c r="Y62" i="1" s="1"/>
  <c r="T23" i="1"/>
  <c r="AF23" i="1" l="1"/>
  <c r="AG23" i="1" s="1"/>
  <c r="BD23" i="1"/>
  <c r="BD27" i="1" s="1"/>
  <c r="BD28" i="1" s="1"/>
  <c r="BD9" i="1" s="1"/>
  <c r="BD11" i="1" s="1"/>
  <c r="Q24" i="1"/>
  <c r="R24" i="1" s="1"/>
  <c r="AJ23" i="1"/>
  <c r="AK23" i="1" s="1"/>
  <c r="AL23" i="1" s="1"/>
  <c r="AM23" i="1" s="1"/>
  <c r="AA18" i="2" l="1"/>
  <c r="W43" i="2"/>
  <c r="W42" i="2" s="1"/>
  <c r="Y42" i="2" s="1"/>
  <c r="T24" i="1"/>
  <c r="AA24" i="1"/>
  <c r="W67" i="1"/>
  <c r="W66" i="1" s="1"/>
  <c r="Y66" i="1" s="1"/>
  <c r="AF18" i="2" l="1"/>
  <c r="AG18" i="2" s="1"/>
  <c r="AF24" i="1"/>
  <c r="AG24" i="1" s="1"/>
  <c r="BE23" i="1"/>
  <c r="BE27" i="1" s="1"/>
  <c r="BE28" i="1" s="1"/>
  <c r="BE9" i="1" s="1"/>
  <c r="BE11" i="1" s="1"/>
  <c r="Q25" i="1"/>
  <c r="R25" i="1" s="1"/>
  <c r="AJ24" i="1"/>
  <c r="AK24" i="1" s="1"/>
  <c r="AL24" i="1" s="1"/>
  <c r="AM24" i="1" s="1"/>
  <c r="AA19" i="2" l="1"/>
  <c r="W47" i="2"/>
  <c r="W46" i="2" s="1"/>
  <c r="Y46" i="2" s="1"/>
  <c r="T25" i="1"/>
  <c r="AA25" i="1"/>
  <c r="W71" i="1"/>
  <c r="W70" i="1" s="1"/>
  <c r="Y70" i="1" s="1"/>
  <c r="AF19" i="2" l="1"/>
  <c r="AG19" i="2" s="1"/>
  <c r="AF25" i="1"/>
  <c r="AG25" i="1" s="1"/>
  <c r="BF23" i="1"/>
  <c r="BF27" i="1" s="1"/>
  <c r="BF28" i="1" s="1"/>
  <c r="BF9" i="1" s="1"/>
  <c r="BF11" i="1" s="1"/>
  <c r="Q26" i="1"/>
  <c r="AJ25" i="1"/>
  <c r="AK25" i="1" s="1"/>
  <c r="AL25" i="1" s="1"/>
  <c r="AM25" i="1" s="1"/>
  <c r="AA20" i="2" l="1"/>
  <c r="W51" i="2"/>
  <c r="W50" i="2" s="1"/>
  <c r="Y50" i="2" s="1"/>
  <c r="R26" i="1"/>
  <c r="T26" i="1" s="1"/>
  <c r="AF20" i="2" l="1"/>
  <c r="AG20" i="2" s="1"/>
  <c r="Q27" i="1"/>
  <c r="AJ26" i="1"/>
  <c r="AK26" i="1" s="1"/>
  <c r="AL26" i="1" s="1"/>
  <c r="AM26" i="1" s="1"/>
  <c r="AA26" i="1"/>
  <c r="W75" i="1"/>
  <c r="W74" i="1" s="1"/>
  <c r="Y74" i="1" s="1"/>
  <c r="AA21" i="2" l="1"/>
  <c r="W55" i="2"/>
  <c r="W54" i="2" s="1"/>
  <c r="Y54" i="2" s="1"/>
  <c r="AF26" i="1"/>
  <c r="AG26" i="1" s="1"/>
  <c r="BG23" i="1"/>
  <c r="BG27" i="1" s="1"/>
  <c r="BG28" i="1" s="1"/>
  <c r="BG9" i="1" s="1"/>
  <c r="BG11" i="1" s="1"/>
  <c r="R27" i="1"/>
  <c r="T27" i="1" s="1"/>
  <c r="AF21" i="2" l="1"/>
  <c r="AG21" i="2" s="1"/>
  <c r="Q28" i="1"/>
  <c r="AJ27" i="1"/>
  <c r="AK27" i="1" s="1"/>
  <c r="AL27" i="1" s="1"/>
  <c r="AM27" i="1" s="1"/>
  <c r="AA27" i="1"/>
  <c r="W79" i="1"/>
  <c r="W78" i="1" s="1"/>
  <c r="Y78" i="1" s="1"/>
  <c r="AF27" i="1" l="1"/>
  <c r="AG27" i="1" s="1"/>
  <c r="BH23" i="1"/>
  <c r="BH27" i="1" s="1"/>
  <c r="BH28" i="1" s="1"/>
  <c r="BH9" i="1" s="1"/>
  <c r="BH11" i="1" s="1"/>
  <c r="R28" i="1"/>
  <c r="T28" i="1" s="1"/>
  <c r="AJ28" i="1" s="1"/>
  <c r="AK28" i="1" s="1"/>
  <c r="AL28" i="1" s="1"/>
  <c r="AM28" i="1" s="1"/>
  <c r="AA22" i="2" l="1"/>
  <c r="W59" i="2"/>
  <c r="W58" i="2" s="1"/>
  <c r="Y58" i="2" s="1"/>
  <c r="AA28" i="1"/>
  <c r="BI23" i="1" s="1"/>
  <c r="BI27" i="1" s="1"/>
  <c r="BI28" i="1" s="1"/>
  <c r="BI9" i="1" s="1"/>
  <c r="BI11" i="1" s="1"/>
  <c r="W83" i="1"/>
  <c r="W82" i="1" s="1"/>
  <c r="Y82" i="1" s="1"/>
  <c r="R29" i="1"/>
  <c r="AF22" i="2" l="1"/>
  <c r="AG22" i="2" s="1"/>
  <c r="AF28" i="1"/>
  <c r="AA29" i="1"/>
  <c r="AG28" i="1" l="1"/>
  <c r="AF29" i="1"/>
  <c r="AA23" i="2" l="1"/>
  <c r="W63" i="2"/>
  <c r="W62" i="2" s="1"/>
  <c r="Y62" i="2" s="1"/>
  <c r="AF23" i="2" l="1"/>
  <c r="AG23" i="2" s="1"/>
  <c r="AA24" i="2" l="1"/>
  <c r="W67" i="2"/>
  <c r="W66" i="2" s="1"/>
  <c r="Y66" i="2" s="1"/>
  <c r="AF24" i="2" l="1"/>
  <c r="AG24" i="2" s="1"/>
  <c r="AA25" i="2" l="1"/>
  <c r="W71" i="2"/>
  <c r="W70" i="2" s="1"/>
  <c r="Y70" i="2" s="1"/>
  <c r="AF25" i="2" l="1"/>
  <c r="AG25" i="2" s="1"/>
  <c r="AA26" i="2" l="1"/>
  <c r="W75" i="2"/>
  <c r="W74" i="2" s="1"/>
  <c r="Y74" i="2" s="1"/>
  <c r="AF26" i="2" l="1"/>
  <c r="AG26" i="2" s="1"/>
  <c r="AA27" i="2" l="1"/>
  <c r="W79" i="2"/>
  <c r="W78" i="2" s="1"/>
  <c r="Y78" i="2" s="1"/>
  <c r="AF27" i="2" l="1"/>
  <c r="AG27" i="2" s="1"/>
  <c r="AA28" i="2" l="1"/>
  <c r="W83" i="2"/>
  <c r="W82" i="2" s="1"/>
  <c r="Y82" i="2" s="1"/>
  <c r="R29" i="2"/>
  <c r="AF28" i="2" l="1"/>
  <c r="AA29" i="2"/>
  <c r="AF29" i="2" l="1"/>
  <c r="AG28" i="2"/>
</calcChain>
</file>

<file path=xl/sharedStrings.xml><?xml version="1.0" encoding="utf-8"?>
<sst xmlns="http://schemas.openxmlformats.org/spreadsheetml/2006/main" count="271" uniqueCount="97">
  <si>
    <t>PRESTAMO POR PAGAR</t>
  </si>
  <si>
    <t>CONTRATO (ES LA FORMA DEL PRESTAMO)</t>
  </si>
  <si>
    <t>NOMINAL</t>
  </si>
  <si>
    <t>TASA</t>
  </si>
  <si>
    <t>PLAZO</t>
  </si>
  <si>
    <t>MESES</t>
  </si>
  <si>
    <t>COMISION</t>
  </si>
  <si>
    <t>(6, 12 Y 18)</t>
  </si>
  <si>
    <t>Principal</t>
  </si>
  <si>
    <t>Interes</t>
  </si>
  <si>
    <t>Cuota</t>
  </si>
  <si>
    <t>SEGURO</t>
  </si>
  <si>
    <t>Paso N°1: calcular la tasa efectiva</t>
  </si>
  <si>
    <t>0</t>
  </si>
  <si>
    <t>del Banco</t>
  </si>
  <si>
    <t xml:space="preserve">Transf. </t>
  </si>
  <si>
    <t>Pagos</t>
  </si>
  <si>
    <t>Comisión</t>
  </si>
  <si>
    <t>Seguro</t>
  </si>
  <si>
    <t>TIR</t>
  </si>
  <si>
    <t xml:space="preserve">Paso N°2: </t>
  </si>
  <si>
    <t>Construir el cuadro del costo amortizado</t>
  </si>
  <si>
    <t>S.Inicial</t>
  </si>
  <si>
    <t>(+) Costos F</t>
  </si>
  <si>
    <t>(-) Pagos</t>
  </si>
  <si>
    <t>S.Final</t>
  </si>
  <si>
    <t>Paso N°3:</t>
  </si>
  <si>
    <t>Asientitos contables</t>
  </si>
  <si>
    <t>D</t>
  </si>
  <si>
    <t>H</t>
  </si>
  <si>
    <t>Saldo</t>
  </si>
  <si>
    <t>Efectivo</t>
  </si>
  <si>
    <t>PxPagar</t>
  </si>
  <si>
    <t>T=0</t>
  </si>
  <si>
    <t>Gasto financiero</t>
  </si>
  <si>
    <t>Paso N°4:</t>
  </si>
  <si>
    <t>Impuestos diferidos</t>
  </si>
  <si>
    <t>Gasto</t>
  </si>
  <si>
    <t>NIIF</t>
  </si>
  <si>
    <t>TAX</t>
  </si>
  <si>
    <t>Total</t>
  </si>
  <si>
    <t>Diferencia</t>
  </si>
  <si>
    <t>temporal</t>
  </si>
  <si>
    <t>temporaria</t>
  </si>
  <si>
    <t>METODO DEL BALANCE</t>
  </si>
  <si>
    <t>SALDO</t>
  </si>
  <si>
    <t>TRIBUTA</t>
  </si>
  <si>
    <t>BASE</t>
  </si>
  <si>
    <t>FISCAL</t>
  </si>
  <si>
    <t>VALOR</t>
  </si>
  <si>
    <t>LIBROS</t>
  </si>
  <si>
    <t>DIF</t>
  </si>
  <si>
    <t>TEMPORARIA</t>
  </si>
  <si>
    <t>IMP DIF</t>
  </si>
  <si>
    <t>ESF</t>
  </si>
  <si>
    <t>E RTDOS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</si>
  <si>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</si>
  <si>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</si>
  <si>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</si>
  <si>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</si>
  <si>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</si>
  <si>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</si>
  <si>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</si>
  <si>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</si>
  <si>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</si>
  <si>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</si>
  <si>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</si>
  <si>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</si>
  <si>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</si>
  <si>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</si>
  <si>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</si>
  <si>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</si>
  <si>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</si>
  <si>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</si>
  <si>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Ventas</t>
  </si>
  <si>
    <t>C Vtas</t>
  </si>
  <si>
    <t>:</t>
  </si>
  <si>
    <t>Utilidad</t>
  </si>
  <si>
    <t>Utilidad antes de impuestos</t>
  </si>
  <si>
    <t>Calcular el Imp Cte</t>
  </si>
  <si>
    <t>Utilidad contable</t>
  </si>
  <si>
    <t>(+) Gasto financiero NIIF</t>
  </si>
  <si>
    <t>(-) Gasto fin TAX</t>
  </si>
  <si>
    <t>(-) Comisión</t>
  </si>
  <si>
    <t>(-) Seguros</t>
  </si>
  <si>
    <t>Utilidad tributaria</t>
  </si>
  <si>
    <t>Impuesto a la renta corriente</t>
  </si>
  <si>
    <t>Impuesto corriente</t>
  </si>
  <si>
    <t>Impuesto diferido</t>
  </si>
  <si>
    <t>Utilidad neta</t>
  </si>
  <si>
    <t>Meses</t>
  </si>
  <si>
    <t>Tasa</t>
  </si>
  <si>
    <t>I Rta</t>
  </si>
  <si>
    <t>(T=0)</t>
  </si>
  <si>
    <t>2 X1</t>
  </si>
  <si>
    <t>usd</t>
  </si>
  <si>
    <t>soles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</si>
</sst>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0.00000%"/>
    <numFmt numFmtId="167" formatCode="&quot;T=&quot;##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0" fillId="3" borderId="0" xfId="0" applyFill="1"/>
    <xf numFmtId="164" fontId="2" fillId="0" borderId="0" xfId="1" applyNumberFormat="1" applyFont="1"/>
    <xf numFmtId="164" fontId="3" fillId="0" borderId="0" xfId="1" applyNumberFormat="1" applyFont="1"/>
    <xf numFmtId="164" fontId="2" fillId="4" borderId="2" xfId="1" applyNumberFormat="1" applyFont="1" applyFill="1" applyBorder="1"/>
    <xf numFmtId="164" fontId="3" fillId="4" borderId="3" xfId="1" applyNumberFormat="1" applyFont="1" applyFill="1" applyBorder="1"/>
    <xf numFmtId="164" fontId="3" fillId="4" borderId="4" xfId="1" applyNumberFormat="1" applyFont="1" applyFill="1" applyBorder="1"/>
    <xf numFmtId="164" fontId="3" fillId="4" borderId="5" xfId="1" applyNumberFormat="1" applyFont="1" applyFill="1" applyBorder="1"/>
    <xf numFmtId="164" fontId="3" fillId="4" borderId="0" xfId="1" applyNumberFormat="1" applyFont="1" applyFill="1" applyBorder="1"/>
    <xf numFmtId="164" fontId="3" fillId="4" borderId="6" xfId="1" applyNumberFormat="1" applyFont="1" applyFill="1" applyBorder="1"/>
    <xf numFmtId="165" fontId="3" fillId="4" borderId="0" xfId="2" applyNumberFormat="1" applyFont="1" applyFill="1" applyBorder="1"/>
    <xf numFmtId="164" fontId="3" fillId="0" borderId="5" xfId="1" applyNumberFormat="1" applyFont="1" applyBorder="1"/>
    <xf numFmtId="164" fontId="3" fillId="0" borderId="0" xfId="1" applyNumberFormat="1" applyFont="1" applyBorder="1"/>
    <xf numFmtId="164" fontId="3" fillId="0" borderId="6" xfId="1" applyNumberFormat="1" applyFont="1" applyBorder="1"/>
    <xf numFmtId="164" fontId="3" fillId="0" borderId="7" xfId="1" applyNumberFormat="1" applyFont="1" applyBorder="1"/>
    <xf numFmtId="164" fontId="3" fillId="0" borderId="8" xfId="1" applyNumberFormat="1" applyFont="1" applyBorder="1"/>
    <xf numFmtId="164" fontId="3" fillId="0" borderId="9" xfId="1" applyNumberFormat="1" applyFont="1" applyBorder="1"/>
    <xf numFmtId="164" fontId="2" fillId="5" borderId="5" xfId="1" applyNumberFormat="1" applyFont="1" applyFill="1" applyBorder="1"/>
    <xf numFmtId="164" fontId="2" fillId="5" borderId="0" xfId="1" applyNumberFormat="1" applyFont="1" applyFill="1" applyBorder="1"/>
    <xf numFmtId="164" fontId="2" fillId="5" borderId="6" xfId="1" applyNumberFormat="1" applyFont="1" applyFill="1" applyBorder="1"/>
    <xf numFmtId="164" fontId="3" fillId="0" borderId="11" xfId="1" applyNumberFormat="1" applyFont="1" applyBorder="1"/>
    <xf numFmtId="164" fontId="3" fillId="0" borderId="12" xfId="1" applyNumberFormat="1" applyFont="1" applyBorder="1"/>
    <xf numFmtId="166" fontId="2" fillId="6" borderId="11" xfId="2" applyNumberFormat="1" applyFont="1" applyFill="1" applyBorder="1" applyAlignment="1">
      <alignment horizontal="center"/>
    </xf>
    <xf numFmtId="164" fontId="3" fillId="7" borderId="5" xfId="1" quotePrefix="1" applyNumberFormat="1" applyFont="1" applyFill="1" applyBorder="1" applyAlignment="1">
      <alignment horizontal="right"/>
    </xf>
    <xf numFmtId="164" fontId="3" fillId="7" borderId="0" xfId="1" applyNumberFormat="1" applyFont="1" applyFill="1" applyBorder="1"/>
    <xf numFmtId="164" fontId="3" fillId="7" borderId="6" xfId="1" applyNumberFormat="1" applyFont="1" applyFill="1" applyBorder="1"/>
    <xf numFmtId="164" fontId="3" fillId="7" borderId="11" xfId="1" applyNumberFormat="1" applyFont="1" applyFill="1" applyBorder="1"/>
    <xf numFmtId="164" fontId="2" fillId="6" borderId="2" xfId="1" applyNumberFormat="1" applyFont="1" applyFill="1" applyBorder="1"/>
    <xf numFmtId="164" fontId="3" fillId="6" borderId="3" xfId="1" applyNumberFormat="1" applyFont="1" applyFill="1" applyBorder="1"/>
    <xf numFmtId="164" fontId="3" fillId="6" borderId="4" xfId="1" applyNumberFormat="1" applyFont="1" applyFill="1" applyBorder="1"/>
    <xf numFmtId="164" fontId="3" fillId="6" borderId="5" xfId="1" applyNumberFormat="1" applyFont="1" applyFill="1" applyBorder="1"/>
    <xf numFmtId="164" fontId="3" fillId="6" borderId="0" xfId="1" applyNumberFormat="1" applyFont="1" applyFill="1" applyBorder="1"/>
    <xf numFmtId="164" fontId="3" fillId="6" borderId="6" xfId="1" applyNumberFormat="1" applyFont="1" applyFill="1" applyBorder="1"/>
    <xf numFmtId="164" fontId="2" fillId="6" borderId="5" xfId="1" applyNumberFormat="1" applyFont="1" applyFill="1" applyBorder="1"/>
    <xf numFmtId="164" fontId="2" fillId="6" borderId="0" xfId="1" applyNumberFormat="1" applyFont="1" applyFill="1" applyBorder="1"/>
    <xf numFmtId="164" fontId="3" fillId="7" borderId="5" xfId="1" applyNumberFormat="1" applyFont="1" applyFill="1" applyBorder="1"/>
    <xf numFmtId="164" fontId="2" fillId="6" borderId="0" xfId="1" applyNumberFormat="1" applyFont="1" applyFill="1" applyBorder="1" applyAlignment="1">
      <alignment horizontal="center"/>
    </xf>
    <xf numFmtId="166" fontId="2" fillId="6" borderId="0" xfId="2" applyNumberFormat="1" applyFont="1" applyFill="1" applyBorder="1" applyAlignment="1">
      <alignment horizontal="center"/>
    </xf>
    <xf numFmtId="164" fontId="2" fillId="6" borderId="6" xfId="1" applyNumberFormat="1" applyFont="1" applyFill="1" applyBorder="1" applyAlignment="1">
      <alignment horizontal="center"/>
    </xf>
    <xf numFmtId="166" fontId="2" fillId="6" borderId="6" xfId="2" applyNumberFormat="1" applyFont="1" applyFill="1" applyBorder="1" applyAlignment="1">
      <alignment horizontal="center"/>
    </xf>
    <xf numFmtId="164" fontId="2" fillId="7" borderId="0" xfId="1" applyNumberFormat="1" applyFont="1" applyFill="1" applyBorder="1"/>
    <xf numFmtId="164" fontId="3" fillId="8" borderId="0" xfId="1" applyNumberFormat="1" applyFont="1" applyFill="1" applyBorder="1"/>
    <xf numFmtId="164" fontId="2" fillId="9" borderId="10" xfId="1" applyNumberFormat="1" applyFont="1" applyFill="1" applyBorder="1" applyAlignment="1">
      <alignment horizontal="center"/>
    </xf>
    <xf numFmtId="164" fontId="3" fillId="8" borderId="6" xfId="1" applyNumberFormat="1" applyFont="1" applyFill="1" applyBorder="1"/>
    <xf numFmtId="164" fontId="2" fillId="7" borderId="0" xfId="1" applyNumberFormat="1" applyFont="1" applyFill="1" applyBorder="1" applyAlignment="1">
      <alignment horizontal="center"/>
    </xf>
    <xf numFmtId="164" fontId="2" fillId="7" borderId="6" xfId="1" applyNumberFormat="1" applyFont="1" applyFill="1" applyBorder="1" applyAlignment="1">
      <alignment horizontal="center"/>
    </xf>
    <xf numFmtId="164" fontId="3" fillId="8" borderId="9" xfId="1" applyNumberFormat="1" applyFont="1" applyFill="1" applyBorder="1"/>
    <xf numFmtId="164" fontId="3" fillId="10" borderId="0" xfId="1" applyNumberFormat="1" applyFont="1" applyFill="1" applyBorder="1"/>
    <xf numFmtId="167" fontId="3" fillId="0" borderId="5" xfId="1" applyNumberFormat="1" applyFont="1" applyBorder="1" applyAlignment="1">
      <alignment horizontal="left"/>
    </xf>
    <xf numFmtId="164" fontId="3" fillId="8" borderId="1" xfId="1" applyNumberFormat="1" applyFont="1" applyFill="1" applyBorder="1"/>
    <xf numFmtId="164" fontId="3" fillId="11" borderId="1" xfId="1" applyNumberFormat="1" applyFont="1" applyFill="1" applyBorder="1"/>
    <xf numFmtId="164" fontId="3" fillId="12" borderId="1" xfId="1" applyNumberFormat="1" applyFont="1" applyFill="1" applyBorder="1"/>
    <xf numFmtId="164" fontId="3" fillId="13" borderId="1" xfId="1" applyNumberFormat="1" applyFont="1" applyFill="1" applyBorder="1"/>
    <xf numFmtId="164" fontId="3" fillId="9" borderId="1" xfId="1" applyNumberFormat="1" applyFont="1" applyFill="1" applyBorder="1"/>
    <xf numFmtId="164" fontId="3" fillId="11" borderId="0" xfId="1" applyNumberFormat="1" applyFont="1" applyFill="1" applyBorder="1"/>
    <xf numFmtId="164" fontId="3" fillId="12" borderId="0" xfId="1" applyNumberFormat="1" applyFont="1" applyFill="1" applyBorder="1"/>
    <xf numFmtId="164" fontId="3" fillId="13" borderId="0" xfId="1" applyNumberFormat="1" applyFont="1" applyFill="1" applyBorder="1"/>
    <xf numFmtId="164" fontId="3" fillId="9" borderId="0" xfId="1" applyNumberFormat="1" applyFont="1" applyFill="1" applyBorder="1"/>
    <xf numFmtId="164" fontId="4" fillId="9" borderId="0" xfId="1" applyNumberFormat="1" applyFont="1" applyFill="1" applyBorder="1"/>
    <xf numFmtId="164" fontId="3" fillId="10" borderId="8" xfId="1" applyNumberFormat="1" applyFont="1" applyFill="1" applyBorder="1"/>
    <xf numFmtId="164" fontId="3" fillId="7" borderId="7" xfId="1" applyNumberFormat="1" applyFont="1" applyFill="1" applyBorder="1"/>
    <xf numFmtId="164" fontId="2" fillId="7" borderId="8" xfId="1" applyNumberFormat="1" applyFont="1" applyFill="1" applyBorder="1"/>
    <xf numFmtId="164" fontId="2" fillId="7" borderId="9" xfId="1" applyNumberFormat="1" applyFont="1" applyFill="1" applyBorder="1"/>
    <xf numFmtId="164" fontId="2" fillId="14" borderId="0" xfId="1" applyNumberFormat="1" applyFont="1" applyFill="1" applyBorder="1" applyAlignment="1">
      <alignment horizontal="center"/>
    </xf>
    <xf numFmtId="164" fontId="2" fillId="14" borderId="6" xfId="1" applyNumberFormat="1" applyFont="1" applyFill="1" applyBorder="1" applyAlignment="1">
      <alignment horizontal="center"/>
    </xf>
    <xf numFmtId="164" fontId="2" fillId="0" borderId="8" xfId="1" applyNumberFormat="1" applyFont="1" applyBorder="1"/>
    <xf numFmtId="164" fontId="3" fillId="6" borderId="10" xfId="1" applyNumberFormat="1" applyFont="1" applyFill="1" applyBorder="1"/>
    <xf numFmtId="164" fontId="3" fillId="6" borderId="11" xfId="1" applyNumberFormat="1" applyFont="1" applyFill="1" applyBorder="1"/>
    <xf numFmtId="164" fontId="2" fillId="14" borderId="11" xfId="1" applyNumberFormat="1" applyFont="1" applyFill="1" applyBorder="1" applyAlignment="1">
      <alignment horizontal="center"/>
    </xf>
    <xf numFmtId="164" fontId="2" fillId="7" borderId="11" xfId="1" applyNumberFormat="1" applyFont="1" applyFill="1" applyBorder="1" applyAlignment="1">
      <alignment horizontal="center"/>
    </xf>
    <xf numFmtId="164" fontId="3" fillId="8" borderId="11" xfId="1" applyNumberFormat="1" applyFont="1" applyFill="1" applyBorder="1"/>
    <xf numFmtId="164" fontId="2" fillId="7" borderId="12" xfId="1" applyNumberFormat="1" applyFont="1" applyFill="1" applyBorder="1"/>
    <xf numFmtId="164" fontId="2" fillId="4" borderId="0" xfId="1" applyNumberFormat="1" applyFont="1" applyFill="1" applyBorder="1"/>
    <xf numFmtId="164" fontId="3" fillId="9" borderId="11" xfId="1" applyNumberFormat="1" applyFont="1" applyFill="1" applyBorder="1"/>
    <xf numFmtId="164" fontId="2" fillId="15" borderId="0" xfId="1" applyNumberFormat="1" applyFont="1" applyFill="1" applyBorder="1"/>
    <xf numFmtId="9" fontId="3" fillId="0" borderId="0" xfId="2" applyFont="1"/>
    <xf numFmtId="164" fontId="3" fillId="8" borderId="0" xfId="1" applyNumberFormat="1" applyFont="1" applyFill="1"/>
    <xf numFmtId="164" fontId="3" fillId="0" borderId="14" xfId="1" applyNumberFormat="1" applyFont="1" applyBorder="1"/>
    <xf numFmtId="164" fontId="3" fillId="0" borderId="15" xfId="1" applyNumberFormat="1" applyFont="1" applyBorder="1"/>
    <xf numFmtId="164" fontId="3" fillId="0" borderId="16" xfId="1" applyNumberFormat="1" applyFont="1" applyBorder="1"/>
    <xf numFmtId="164" fontId="3" fillId="0" borderId="17" xfId="1" applyNumberFormat="1" applyFont="1" applyBorder="1"/>
    <xf numFmtId="164" fontId="3" fillId="0" borderId="18" xfId="1" applyNumberFormat="1" applyFont="1" applyBorder="1"/>
    <xf numFmtId="164" fontId="3" fillId="0" borderId="19" xfId="1" applyNumberFormat="1" applyFont="1" applyBorder="1"/>
    <xf numFmtId="164" fontId="3" fillId="0" borderId="20" xfId="1" applyNumberFormat="1" applyFont="1" applyBorder="1"/>
    <xf numFmtId="9" fontId="3" fillId="0" borderId="20" xfId="2" applyFont="1" applyBorder="1"/>
    <xf numFmtId="9" fontId="3" fillId="0" borderId="21" xfId="2" applyFont="1" applyBorder="1"/>
    <xf numFmtId="164" fontId="3" fillId="15" borderId="14" xfId="1" applyNumberFormat="1" applyFont="1" applyFill="1" applyBorder="1"/>
    <xf numFmtId="164" fontId="3" fillId="15" borderId="15" xfId="1" applyNumberFormat="1" applyFont="1" applyFill="1" applyBorder="1"/>
    <xf numFmtId="164" fontId="3" fillId="15" borderId="16" xfId="1" applyNumberFormat="1" applyFont="1" applyFill="1" applyBorder="1"/>
    <xf numFmtId="164" fontId="3" fillId="15" borderId="19" xfId="1" applyNumberFormat="1" applyFont="1" applyFill="1" applyBorder="1"/>
    <xf numFmtId="164" fontId="3" fillId="15" borderId="20" xfId="1" applyNumberFormat="1" applyFont="1" applyFill="1" applyBorder="1"/>
    <xf numFmtId="164" fontId="3" fillId="15" borderId="21" xfId="1" applyNumberFormat="1" applyFont="1" applyFill="1" applyBorder="1"/>
    <xf numFmtId="164" fontId="3" fillId="9" borderId="20" xfId="1" applyNumberFormat="1" applyFont="1" applyFill="1" applyBorder="1"/>
    <xf numFmtId="164" fontId="3" fillId="8" borderId="20" xfId="1" applyNumberFormat="1" applyFont="1" applyFill="1" applyBorder="1"/>
    <xf numFmtId="167" fontId="3" fillId="0" borderId="22" xfId="1" applyNumberFormat="1" applyFont="1" applyBorder="1" applyAlignment="1">
      <alignment horizontal="center"/>
    </xf>
    <xf numFmtId="167" fontId="3" fillId="0" borderId="23" xfId="1" applyNumberFormat="1" applyFont="1" applyBorder="1" applyAlignment="1">
      <alignment horizontal="center"/>
    </xf>
    <xf numFmtId="167" fontId="3" fillId="0" borderId="24" xfId="1" applyNumberFormat="1" applyFont="1" applyBorder="1" applyAlignment="1">
      <alignment horizontal="center"/>
    </xf>
    <xf numFmtId="164" fontId="3" fillId="12" borderId="0" xfId="1" applyNumberFormat="1" applyFont="1" applyFill="1"/>
    <xf numFmtId="164" fontId="3" fillId="10" borderId="0" xfId="1" applyNumberFormat="1" applyFont="1" applyFill="1"/>
    <xf numFmtId="164" fontId="2" fillId="16" borderId="14" xfId="1" applyNumberFormat="1" applyFont="1" applyFill="1" applyBorder="1"/>
    <xf numFmtId="164" fontId="2" fillId="16" borderId="16" xfId="1" applyNumberFormat="1" applyFont="1" applyFill="1" applyBorder="1"/>
    <xf numFmtId="164" fontId="2" fillId="16" borderId="17" xfId="1" applyNumberFormat="1" applyFont="1" applyFill="1" applyBorder="1"/>
    <xf numFmtId="164" fontId="2" fillId="16" borderId="18" xfId="1" applyNumberFormat="1" applyFont="1" applyFill="1" applyBorder="1"/>
    <xf numFmtId="9" fontId="2" fillId="16" borderId="18" xfId="2" applyFont="1" applyFill="1" applyBorder="1"/>
    <xf numFmtId="164" fontId="2" fillId="16" borderId="19" xfId="1" applyNumberFormat="1" applyFont="1" applyFill="1" applyBorder="1"/>
    <xf numFmtId="164" fontId="2" fillId="16" borderId="21" xfId="1" applyNumberFormat="1" applyFont="1" applyFill="1" applyBorder="1"/>
    <xf numFmtId="164" fontId="2" fillId="16" borderId="13" xfId="1" applyNumberFormat="1" applyFont="1" applyFill="1" applyBorder="1"/>
    <xf numFmtId="164" fontId="2" fillId="8" borderId="0" xfId="1" applyNumberFormat="1" applyFont="1" applyFill="1"/>
    <xf numFmtId="164" fontId="3" fillId="5" borderId="0" xfId="1" applyNumberFormat="1" applyFont="1" applyFill="1"/>
    <xf numFmtId="164" fontId="3" fillId="5" borderId="18" xfId="1" applyNumberFormat="1" applyFont="1" applyFill="1" applyBorder="1"/>
    <xf numFmtId="164" fontId="3" fillId="5" borderId="21" xfId="1" applyNumberFormat="1" applyFont="1" applyFill="1" applyBorder="1"/>
    <xf numFmtId="164" fontId="3" fillId="8" borderId="10" xfId="1" applyNumberFormat="1" applyFont="1" applyFill="1" applyBorder="1"/>
    <xf numFmtId="164" fontId="2" fillId="8" borderId="11" xfId="1" applyNumberFormat="1" applyFont="1" applyFill="1" applyBorder="1"/>
    <xf numFmtId="164" fontId="3" fillId="5" borderId="11" xfId="1" applyNumberFormat="1" applyFont="1" applyFill="1" applyBorder="1"/>
    <xf numFmtId="164" fontId="2" fillId="8" borderId="12" xfId="1" applyNumberFormat="1" applyFont="1" applyFill="1" applyBorder="1"/>
    <xf numFmtId="164" fontId="4" fillId="5" borderId="0" xfId="1" applyNumberFormat="1" applyFont="1" applyFill="1" applyBorder="1"/>
    <xf numFmtId="164" fontId="4" fillId="17" borderId="0" xfId="1" applyNumberFormat="1" applyFont="1" applyFill="1" applyBorder="1"/>
    <xf numFmtId="164" fontId="3" fillId="18" borderId="0" xfId="1" applyNumberFormat="1" applyFont="1" applyFill="1" applyBorder="1"/>
    <xf numFmtId="164" fontId="3" fillId="11" borderId="0" xfId="1" applyNumberFormat="1" applyFont="1" applyFill="1"/>
    <xf numFmtId="164" fontId="3" fillId="11" borderId="11" xfId="1" applyNumberFormat="1" applyFont="1" applyFill="1" applyBorder="1"/>
    <xf numFmtId="10" fontId="3" fillId="0" borderId="0" xfId="2" applyNumberFormat="1" applyFont="1"/>
    <xf numFmtId="164" fontId="2" fillId="11" borderId="25" xfId="1" applyNumberFormat="1" applyFont="1" applyFill="1" applyBorder="1"/>
    <xf numFmtId="164" fontId="2" fillId="11" borderId="26" xfId="1" applyNumberFormat="1" applyFont="1" applyFill="1" applyBorder="1"/>
    <xf numFmtId="164" fontId="2" fillId="11" borderId="27" xfId="1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16</xdr:row>
      <xdr:rowOff>219074</xdr:rowOff>
    </xdr:from>
    <xdr:to>
      <xdr:col>3</xdr:col>
      <xdr:colOff>342900</xdr:colOff>
      <xdr:row>26</xdr:row>
      <xdr:rowOff>7019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C6CE02-4008-4F57-A450-7A0D6A285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4038599"/>
          <a:ext cx="2219325" cy="22263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438150</xdr:colOff>
      <xdr:row>15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10A4F2-7953-544E-B2B4-652BDB7F5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0"/>
          <a:ext cx="3486150" cy="3486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16</xdr:row>
      <xdr:rowOff>219074</xdr:rowOff>
    </xdr:from>
    <xdr:to>
      <xdr:col>3</xdr:col>
      <xdr:colOff>342900</xdr:colOff>
      <xdr:row>26</xdr:row>
      <xdr:rowOff>7019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C0767D-A977-4E83-A24A-08B1194E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4095749"/>
          <a:ext cx="2219325" cy="22263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438150</xdr:colOff>
      <xdr:row>15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0D91C0-17BF-44BE-B97B-976B483FE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7650"/>
          <a:ext cx="3486150" cy="3486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DAA25-034B-4FD1-9A41-0D9589F47127}">
  <dimension ref="A1:BJ84"/>
  <sheetViews>
    <sheetView tabSelected="1" workbookViewId="0">
      <pane xSplit="6" topLeftCell="BC1" activePane="topRight" state="frozen"/>
      <selection pane="topRight" activeCell="H21" sqref="H21"/>
    </sheetView>
  </sheetViews>
  <sheetFormatPr baseColWidth="10" defaultRowHeight="18.75" x14ac:dyDescent="0.3"/>
  <cols>
    <col min="5" max="5" width="7.5703125" customWidth="1"/>
    <col min="6" max="6" width="1.42578125" customWidth="1"/>
    <col min="7" max="7" width="13.42578125" style="4" customWidth="1"/>
    <col min="8" max="8" width="14.42578125" style="4" bestFit="1" customWidth="1"/>
    <col min="9" max="10" width="12.28515625" style="4" bestFit="1" customWidth="1"/>
    <col min="11" max="11" width="15.42578125" style="4" customWidth="1"/>
    <col min="12" max="13" width="12.28515625" style="4" bestFit="1" customWidth="1"/>
    <col min="14" max="14" width="11.42578125" style="4"/>
    <col min="15" max="15" width="14.42578125" style="4" bestFit="1" customWidth="1"/>
    <col min="16" max="16" width="7" style="4" customWidth="1"/>
    <col min="17" max="17" width="16" style="4" customWidth="1"/>
    <col min="18" max="18" width="15.28515625" style="4" customWidth="1"/>
    <col min="19" max="19" width="13.42578125" style="4" customWidth="1"/>
    <col min="20" max="20" width="14.42578125" style="4" bestFit="1" customWidth="1"/>
    <col min="21" max="21" width="7" style="4" customWidth="1"/>
    <col min="22" max="22" width="19.7109375" style="4" customWidth="1"/>
    <col min="23" max="23" width="15.28515625" style="4" customWidth="1"/>
    <col min="24" max="25" width="14.42578125" style="4" bestFit="1" customWidth="1"/>
    <col min="26" max="26" width="7" style="4" customWidth="1"/>
    <col min="27" max="27" width="16" style="4" customWidth="1"/>
    <col min="28" max="28" width="15.28515625" style="4" customWidth="1"/>
    <col min="29" max="29" width="13.42578125" style="4" customWidth="1"/>
    <col min="30" max="32" width="14.42578125" style="4" bestFit="1" customWidth="1"/>
    <col min="33" max="33" width="14.5703125" style="4" customWidth="1"/>
    <col min="34" max="34" width="11.42578125" style="4"/>
    <col min="35" max="36" width="14.42578125" style="4" bestFit="1" customWidth="1"/>
    <col min="37" max="37" width="18.140625" style="4" bestFit="1" customWidth="1"/>
    <col min="38" max="39" width="14.42578125" style="4" bestFit="1" customWidth="1"/>
    <col min="40" max="43" width="11.42578125" style="4"/>
    <col min="44" max="44" width="14.42578125" style="4" bestFit="1" customWidth="1"/>
    <col min="45" max="61" width="12.28515625" style="4" bestFit="1" customWidth="1"/>
    <col min="62" max="62" width="14.42578125" style="4" bestFit="1" customWidth="1"/>
    <col min="63" max="16384" width="11.42578125" style="4"/>
  </cols>
  <sheetData>
    <row r="1" spans="1:62" ht="19.5" thickBot="1" x14ac:dyDescent="0.35">
      <c r="A1" s="1"/>
      <c r="B1" s="1"/>
      <c r="C1" s="1"/>
      <c r="D1" s="1"/>
      <c r="E1" s="1"/>
      <c r="F1" s="2"/>
      <c r="G1" s="5" t="s">
        <v>0</v>
      </c>
      <c r="H1" s="6"/>
      <c r="I1" s="6"/>
      <c r="J1" s="7"/>
      <c r="K1" s="28" t="s">
        <v>12</v>
      </c>
      <c r="L1" s="29"/>
      <c r="M1" s="29"/>
      <c r="N1" s="29"/>
      <c r="O1" s="30"/>
      <c r="P1" s="28" t="s">
        <v>20</v>
      </c>
      <c r="Q1" s="29"/>
      <c r="R1" s="29"/>
      <c r="S1" s="29"/>
      <c r="T1" s="29"/>
      <c r="U1" s="28" t="s">
        <v>26</v>
      </c>
      <c r="V1" s="29"/>
      <c r="W1" s="29"/>
      <c r="X1" s="29"/>
      <c r="Y1" s="30"/>
      <c r="Z1" s="28" t="s">
        <v>35</v>
      </c>
      <c r="AA1" s="29"/>
      <c r="AB1" s="29"/>
      <c r="AC1" s="29"/>
      <c r="AD1" s="30"/>
      <c r="AE1" s="29"/>
      <c r="AF1" s="67"/>
      <c r="AG1" s="30"/>
    </row>
    <row r="2" spans="1:62" x14ac:dyDescent="0.3">
      <c r="A2" s="1"/>
      <c r="B2" s="1"/>
      <c r="C2" s="1"/>
      <c r="D2" s="1"/>
      <c r="E2" s="1"/>
      <c r="F2" s="2"/>
      <c r="G2" s="18" t="s">
        <v>1</v>
      </c>
      <c r="H2" s="19"/>
      <c r="I2" s="19"/>
      <c r="J2" s="20"/>
      <c r="K2" s="31"/>
      <c r="L2" s="32"/>
      <c r="M2" s="32"/>
      <c r="N2" s="32"/>
      <c r="O2" s="33"/>
      <c r="P2" s="34" t="s">
        <v>21</v>
      </c>
      <c r="Q2" s="32"/>
      <c r="R2" s="32"/>
      <c r="S2" s="32"/>
      <c r="T2" s="32"/>
      <c r="U2" s="34" t="s">
        <v>27</v>
      </c>
      <c r="V2" s="32"/>
      <c r="W2" s="32"/>
      <c r="X2" s="32"/>
      <c r="Y2" s="33"/>
      <c r="Z2" s="34" t="s">
        <v>36</v>
      </c>
      <c r="AA2" s="32"/>
      <c r="AB2" s="32"/>
      <c r="AC2" s="32"/>
      <c r="AD2" s="33"/>
      <c r="AE2" s="32"/>
      <c r="AF2" s="68"/>
      <c r="AG2" s="33"/>
      <c r="AO2" s="77"/>
      <c r="AP2" s="77"/>
      <c r="AQ2" s="77"/>
      <c r="AR2" s="112" t="s">
        <v>56</v>
      </c>
      <c r="AS2" s="77" t="s">
        <v>57</v>
      </c>
      <c r="AT2" s="77" t="s">
        <v>58</v>
      </c>
      <c r="AU2" s="77" t="s">
        <v>59</v>
      </c>
      <c r="AV2" s="77" t="s">
        <v>60</v>
      </c>
      <c r="AW2" s="77" t="s">
        <v>61</v>
      </c>
      <c r="AX2" s="77" t="s">
        <v>62</v>
      </c>
      <c r="AY2" s="77" t="s">
        <v>63</v>
      </c>
      <c r="AZ2" s="77" t="s">
        <v>64</v>
      </c>
      <c r="BA2" s="77" t="s">
        <v>65</v>
      </c>
      <c r="BB2" s="77" t="s">
        <v>66</v>
      </c>
      <c r="BC2" s="77" t="s">
        <v>67</v>
      </c>
      <c r="BD2" s="77" t="s">
        <v>68</v>
      </c>
      <c r="BE2" s="77" t="s">
        <v>69</v>
      </c>
      <c r="BF2" s="77" t="s">
        <v>70</v>
      </c>
      <c r="BG2" s="77" t="s">
        <v>71</v>
      </c>
      <c r="BH2" s="77" t="s">
        <v>72</v>
      </c>
      <c r="BI2" s="77" t="s">
        <v>73</v>
      </c>
    </row>
    <row r="3" spans="1:62" ht="19.5" thickBot="1" x14ac:dyDescent="0.35">
      <c r="A3" s="1"/>
      <c r="B3" s="1"/>
      <c r="C3" s="1"/>
      <c r="D3" s="1"/>
      <c r="E3" s="1"/>
      <c r="F3" s="2"/>
      <c r="G3" s="8"/>
      <c r="H3" s="9"/>
      <c r="I3" s="9"/>
      <c r="J3" s="10"/>
      <c r="K3" s="31"/>
      <c r="L3" s="32"/>
      <c r="M3" s="32"/>
      <c r="N3" s="32"/>
      <c r="O3" s="33"/>
      <c r="P3" s="31"/>
      <c r="Q3" s="32"/>
      <c r="R3" s="32"/>
      <c r="S3" s="32"/>
      <c r="T3" s="32"/>
      <c r="U3" s="31"/>
      <c r="V3" s="32"/>
      <c r="W3" s="32"/>
      <c r="X3" s="32"/>
      <c r="Y3" s="33"/>
      <c r="Z3" s="31"/>
      <c r="AA3" s="32"/>
      <c r="AB3" s="32"/>
      <c r="AC3" s="32"/>
      <c r="AD3" s="33"/>
      <c r="AE3" s="32"/>
      <c r="AF3" s="68"/>
      <c r="AG3" s="33"/>
      <c r="AO3" s="4" t="s">
        <v>74</v>
      </c>
      <c r="AR3" s="21"/>
    </row>
    <row r="4" spans="1:62" x14ac:dyDescent="0.3">
      <c r="A4" s="1"/>
      <c r="B4" s="1"/>
      <c r="C4" s="1"/>
      <c r="D4" s="1"/>
      <c r="E4" s="1"/>
      <c r="F4" s="2"/>
      <c r="G4" s="8" t="s">
        <v>2</v>
      </c>
      <c r="H4" s="9">
        <v>9000000</v>
      </c>
      <c r="I4" s="9"/>
      <c r="J4" s="10"/>
      <c r="K4" s="31"/>
      <c r="L4" s="32"/>
      <c r="M4" s="32"/>
      <c r="N4" s="32"/>
      <c r="O4" s="33"/>
      <c r="P4" s="31"/>
      <c r="Q4" s="32"/>
      <c r="R4" s="32"/>
      <c r="S4" s="32"/>
      <c r="T4" s="32"/>
      <c r="U4" s="31"/>
      <c r="V4" s="32"/>
      <c r="W4" s="32"/>
      <c r="X4" s="32"/>
      <c r="Y4" s="33"/>
      <c r="Z4" s="31"/>
      <c r="AA4" s="32"/>
      <c r="AB4" s="32"/>
      <c r="AC4" s="32"/>
      <c r="AD4" s="33"/>
      <c r="AE4" s="32"/>
      <c r="AF4" s="68"/>
      <c r="AG4" s="67"/>
      <c r="AO4" s="4" t="s">
        <v>75</v>
      </c>
      <c r="AR4" s="21"/>
    </row>
    <row r="5" spans="1:62" x14ac:dyDescent="0.3">
      <c r="A5" s="1"/>
      <c r="B5" s="1"/>
      <c r="C5" s="1"/>
      <c r="D5" s="1"/>
      <c r="E5" s="1"/>
      <c r="F5" s="2"/>
      <c r="G5" s="8" t="s">
        <v>3</v>
      </c>
      <c r="H5" s="11">
        <v>0.01</v>
      </c>
      <c r="I5" s="9"/>
      <c r="J5" s="10"/>
      <c r="K5" s="31"/>
      <c r="L5" s="32"/>
      <c r="M5" s="32"/>
      <c r="N5" s="32"/>
      <c r="O5" s="33"/>
      <c r="P5" s="31"/>
      <c r="Q5" s="32"/>
      <c r="R5" s="32"/>
      <c r="S5" s="32"/>
      <c r="T5" s="32"/>
      <c r="U5" s="31"/>
      <c r="V5" s="32"/>
      <c r="W5" s="32"/>
      <c r="X5" s="32"/>
      <c r="Y5" s="33"/>
      <c r="Z5" s="31"/>
      <c r="AA5" s="32"/>
      <c r="AB5" s="32"/>
      <c r="AC5" s="32"/>
      <c r="AD5" s="33"/>
      <c r="AE5" s="32"/>
      <c r="AF5" s="68"/>
      <c r="AG5" s="68"/>
      <c r="AO5" s="4" t="s">
        <v>76</v>
      </c>
      <c r="AR5" s="21"/>
    </row>
    <row r="6" spans="1:62" x14ac:dyDescent="0.3">
      <c r="A6" s="1"/>
      <c r="B6" s="1"/>
      <c r="C6" s="1"/>
      <c r="D6" s="1"/>
      <c r="E6" s="1"/>
      <c r="F6" s="2"/>
      <c r="G6" s="8" t="s">
        <v>4</v>
      </c>
      <c r="H6" s="9">
        <v>18</v>
      </c>
      <c r="I6" s="9" t="s">
        <v>5</v>
      </c>
      <c r="J6" s="10"/>
      <c r="K6" s="31"/>
      <c r="L6" s="32"/>
      <c r="M6" s="32"/>
      <c r="N6" s="32"/>
      <c r="O6" s="33"/>
      <c r="P6" s="31"/>
      <c r="Q6" s="32"/>
      <c r="R6" s="32"/>
      <c r="S6" s="32"/>
      <c r="T6" s="32"/>
      <c r="U6" s="31"/>
      <c r="V6" s="32"/>
      <c r="W6" s="32"/>
      <c r="X6" s="32"/>
      <c r="Y6" s="33"/>
      <c r="Z6" s="31"/>
      <c r="AA6" s="32"/>
      <c r="AB6" s="32"/>
      <c r="AC6" s="32"/>
      <c r="AD6" s="33"/>
      <c r="AE6" s="32"/>
      <c r="AF6" s="68"/>
      <c r="AG6" s="68"/>
      <c r="AI6" s="78" t="s">
        <v>44</v>
      </c>
      <c r="AJ6" s="79"/>
      <c r="AK6" s="79"/>
      <c r="AL6" s="79"/>
      <c r="AM6" s="80"/>
      <c r="AO6" s="4" t="s">
        <v>76</v>
      </c>
      <c r="AR6" s="21"/>
    </row>
    <row r="7" spans="1:62" ht="19.5" thickBot="1" x14ac:dyDescent="0.35">
      <c r="A7" s="1"/>
      <c r="B7" s="1"/>
      <c r="C7" s="1"/>
      <c r="D7" s="1"/>
      <c r="E7" s="1"/>
      <c r="F7" s="2"/>
      <c r="G7" s="8" t="s">
        <v>6</v>
      </c>
      <c r="H7" s="11">
        <v>0.02</v>
      </c>
      <c r="I7" s="9" t="s">
        <v>7</v>
      </c>
      <c r="J7" s="10"/>
      <c r="K7" s="12"/>
      <c r="L7" s="13"/>
      <c r="M7" s="13"/>
      <c r="N7" s="13"/>
      <c r="O7" s="14"/>
      <c r="P7" s="12"/>
      <c r="Q7" s="13"/>
      <c r="R7" s="13"/>
      <c r="S7" s="13"/>
      <c r="T7" s="13"/>
      <c r="U7" s="12"/>
      <c r="V7" s="13"/>
      <c r="W7" s="13"/>
      <c r="X7" s="13"/>
      <c r="Y7" s="14"/>
      <c r="Z7" s="12"/>
      <c r="AA7" s="13"/>
      <c r="AB7" s="13"/>
      <c r="AC7" s="13"/>
      <c r="AD7" s="14"/>
      <c r="AE7" s="13"/>
      <c r="AF7" s="21"/>
      <c r="AG7" s="21"/>
      <c r="AI7" s="81" t="s">
        <v>45</v>
      </c>
      <c r="AJ7" s="13"/>
      <c r="AK7" s="13"/>
      <c r="AL7" s="13"/>
      <c r="AM7" s="82"/>
      <c r="AO7" s="4" t="s">
        <v>76</v>
      </c>
      <c r="AR7" s="21"/>
    </row>
    <row r="8" spans="1:62" x14ac:dyDescent="0.3">
      <c r="A8" s="1"/>
      <c r="B8" s="1"/>
      <c r="C8" s="1"/>
      <c r="D8" s="1"/>
      <c r="E8" s="1"/>
      <c r="F8" s="2"/>
      <c r="G8" s="8" t="s">
        <v>11</v>
      </c>
      <c r="H8" s="11">
        <v>5.0000000000000001E-3</v>
      </c>
      <c r="I8" s="9"/>
      <c r="J8" s="10"/>
      <c r="K8" s="34" t="s">
        <v>15</v>
      </c>
      <c r="L8" s="35"/>
      <c r="M8" s="35"/>
      <c r="N8" s="35"/>
      <c r="O8" s="43" t="s">
        <v>19</v>
      </c>
      <c r="P8" s="34"/>
      <c r="Q8" s="35"/>
      <c r="R8" s="35"/>
      <c r="S8" s="35"/>
      <c r="T8" s="37"/>
      <c r="U8" s="34"/>
      <c r="V8" s="35"/>
      <c r="W8" s="35"/>
      <c r="X8" s="35"/>
      <c r="Y8" s="39"/>
      <c r="Z8" s="34"/>
      <c r="AA8" s="35"/>
      <c r="AB8" s="64" t="s">
        <v>37</v>
      </c>
      <c r="AC8" s="64" t="s">
        <v>37</v>
      </c>
      <c r="AD8" s="65" t="s">
        <v>37</v>
      </c>
      <c r="AE8" s="64" t="s">
        <v>37</v>
      </c>
      <c r="AF8" s="69"/>
      <c r="AG8" s="69"/>
      <c r="AI8" s="83" t="s">
        <v>46</v>
      </c>
      <c r="AJ8" s="84"/>
      <c r="AK8" s="84"/>
      <c r="AL8" s="85">
        <v>0.3</v>
      </c>
      <c r="AM8" s="86">
        <v>0.3</v>
      </c>
      <c r="AN8" s="76">
        <v>1</v>
      </c>
      <c r="AO8" s="77" t="s">
        <v>78</v>
      </c>
      <c r="AP8" s="77"/>
      <c r="AQ8" s="77"/>
      <c r="AR8" s="113">
        <v>500000</v>
      </c>
      <c r="AS8" s="108">
        <v>500000</v>
      </c>
      <c r="AT8" s="108">
        <v>500000</v>
      </c>
      <c r="AU8" s="108">
        <v>500000</v>
      </c>
      <c r="AV8" s="108">
        <v>500000</v>
      </c>
      <c r="AW8" s="108">
        <v>500000</v>
      </c>
      <c r="AX8" s="108">
        <v>500000</v>
      </c>
      <c r="AY8" s="108">
        <v>500000</v>
      </c>
      <c r="AZ8" s="108">
        <v>500000</v>
      </c>
      <c r="BA8" s="108">
        <v>500000</v>
      </c>
      <c r="BB8" s="108">
        <v>500000</v>
      </c>
      <c r="BC8" s="108">
        <v>500000</v>
      </c>
      <c r="BD8" s="108">
        <v>500000</v>
      </c>
      <c r="BE8" s="108">
        <v>500000</v>
      </c>
      <c r="BF8" s="108">
        <v>500000</v>
      </c>
      <c r="BG8" s="108">
        <v>500000</v>
      </c>
      <c r="BH8" s="108">
        <v>500000</v>
      </c>
      <c r="BI8" s="108">
        <v>500000</v>
      </c>
    </row>
    <row r="9" spans="1:62" x14ac:dyDescent="0.3">
      <c r="A9" s="1"/>
      <c r="B9" s="1"/>
      <c r="C9" s="1"/>
      <c r="D9" s="1"/>
      <c r="E9" s="1"/>
      <c r="F9" s="2"/>
      <c r="G9" s="8"/>
      <c r="H9" s="13" t="s">
        <v>8</v>
      </c>
      <c r="I9" s="13" t="s">
        <v>9</v>
      </c>
      <c r="J9" s="14" t="s">
        <v>10</v>
      </c>
      <c r="K9" s="34" t="s">
        <v>14</v>
      </c>
      <c r="L9" s="35" t="s">
        <v>16</v>
      </c>
      <c r="M9" s="35" t="s">
        <v>17</v>
      </c>
      <c r="N9" s="35" t="s">
        <v>18</v>
      </c>
      <c r="O9" s="23">
        <f>IRR(O10:O28)</f>
        <v>1.6188877751573516E-2</v>
      </c>
      <c r="P9" s="34"/>
      <c r="Q9" s="35"/>
      <c r="R9" s="35"/>
      <c r="S9" s="35"/>
      <c r="T9" s="38"/>
      <c r="U9" s="34"/>
      <c r="V9" s="35"/>
      <c r="W9" s="35"/>
      <c r="X9" s="35"/>
      <c r="Y9" s="40"/>
      <c r="Z9" s="34"/>
      <c r="AA9" s="45" t="s">
        <v>37</v>
      </c>
      <c r="AB9" s="64" t="s">
        <v>39</v>
      </c>
      <c r="AC9" s="64" t="s">
        <v>39</v>
      </c>
      <c r="AD9" s="65" t="s">
        <v>39</v>
      </c>
      <c r="AE9" s="64" t="s">
        <v>39</v>
      </c>
      <c r="AF9" s="69" t="s">
        <v>41</v>
      </c>
      <c r="AG9" s="69" t="s">
        <v>41</v>
      </c>
      <c r="AI9" s="87" t="s">
        <v>47</v>
      </c>
      <c r="AJ9" s="88" t="s">
        <v>49</v>
      </c>
      <c r="AK9" s="88" t="s">
        <v>51</v>
      </c>
      <c r="AL9" s="88" t="s">
        <v>53</v>
      </c>
      <c r="AM9" s="89" t="s">
        <v>53</v>
      </c>
      <c r="AN9" s="76">
        <v>0.3</v>
      </c>
      <c r="AO9" s="4" t="s">
        <v>87</v>
      </c>
      <c r="AR9" s="21">
        <f>+AR28</f>
        <v>-165886.71228266193</v>
      </c>
      <c r="AS9" s="4">
        <f t="shared" ref="AS9:BI9" si="0">+AS28</f>
        <v>-165291.99183841833</v>
      </c>
      <c r="AT9" s="4">
        <f t="shared" si="0"/>
        <v>-164679.12445273396</v>
      </c>
      <c r="AU9" s="4">
        <f t="shared" si="0"/>
        <v>-164047.73115614348</v>
      </c>
      <c r="AV9" s="4">
        <f t="shared" si="0"/>
        <v>-163397.42599218272</v>
      </c>
      <c r="AW9" s="4">
        <f t="shared" si="0"/>
        <v>-108727.81589575807</v>
      </c>
      <c r="AX9" s="4">
        <f t="shared" si="0"/>
        <v>-161164.30117087619</v>
      </c>
      <c r="AY9" s="4">
        <f t="shared" si="0"/>
        <v>-160440.72065201667</v>
      </c>
      <c r="AZ9" s="4">
        <f t="shared" si="0"/>
        <v>-159696.38299633688</v>
      </c>
      <c r="BA9" s="4">
        <f t="shared" si="0"/>
        <v>-158930.86173728391</v>
      </c>
      <c r="BB9" s="4">
        <f t="shared" si="0"/>
        <v>-158143.72259997172</v>
      </c>
      <c r="BC9" s="4">
        <f t="shared" si="0"/>
        <v>-103334.52336573025</v>
      </c>
      <c r="BD9" s="4">
        <f t="shared" si="0"/>
        <v>-155628.61433578539</v>
      </c>
      <c r="BE9" s="4">
        <f t="shared" si="0"/>
        <v>-154759.78347834951</v>
      </c>
      <c r="BF9" s="4">
        <f t="shared" si="0"/>
        <v>-153867.28770630751</v>
      </c>
      <c r="BG9" s="4">
        <f t="shared" si="0"/>
        <v>-152950.64791606917</v>
      </c>
      <c r="BH9" s="4">
        <f t="shared" si="0"/>
        <v>-152009.37628794293</v>
      </c>
      <c r="BI9" s="4">
        <f t="shared" si="0"/>
        <v>-97042.976135432691</v>
      </c>
      <c r="BJ9" s="3"/>
    </row>
    <row r="10" spans="1:62" x14ac:dyDescent="0.3">
      <c r="A10" s="1"/>
      <c r="B10" s="1"/>
      <c r="C10" s="1"/>
      <c r="D10" s="1"/>
      <c r="E10" s="1"/>
      <c r="F10" s="2"/>
      <c r="G10" s="24" t="s">
        <v>13</v>
      </c>
      <c r="H10" s="25"/>
      <c r="I10" s="25"/>
      <c r="J10" s="26"/>
      <c r="K10" s="36">
        <f>+H4</f>
        <v>9000000</v>
      </c>
      <c r="L10" s="25"/>
      <c r="M10" s="25"/>
      <c r="N10" s="25"/>
      <c r="O10" s="27">
        <f>SUM(K10:N10)</f>
        <v>9000000</v>
      </c>
      <c r="P10" s="36"/>
      <c r="Q10" s="41" t="s">
        <v>22</v>
      </c>
      <c r="R10" s="41" t="s">
        <v>23</v>
      </c>
      <c r="S10" s="41" t="s">
        <v>24</v>
      </c>
      <c r="T10" s="41" t="s">
        <v>25</v>
      </c>
      <c r="U10" s="36"/>
      <c r="V10" s="41"/>
      <c r="W10" s="45" t="s">
        <v>28</v>
      </c>
      <c r="X10" s="45" t="s">
        <v>29</v>
      </c>
      <c r="Y10" s="46" t="s">
        <v>30</v>
      </c>
      <c r="Z10" s="36"/>
      <c r="AA10" s="45" t="s">
        <v>38</v>
      </c>
      <c r="AB10" s="45" t="s">
        <v>9</v>
      </c>
      <c r="AC10" s="45" t="s">
        <v>18</v>
      </c>
      <c r="AD10" s="46" t="s">
        <v>17</v>
      </c>
      <c r="AE10" s="45" t="s">
        <v>40</v>
      </c>
      <c r="AF10" s="70" t="s">
        <v>42</v>
      </c>
      <c r="AG10" s="70" t="s">
        <v>43</v>
      </c>
      <c r="AI10" s="90" t="s">
        <v>48</v>
      </c>
      <c r="AJ10" s="91" t="s">
        <v>50</v>
      </c>
      <c r="AK10" s="91" t="s">
        <v>52</v>
      </c>
      <c r="AL10" s="91" t="s">
        <v>54</v>
      </c>
      <c r="AM10" s="92" t="s">
        <v>55</v>
      </c>
      <c r="AO10" s="4" t="s">
        <v>88</v>
      </c>
      <c r="AR10" s="114">
        <f t="shared" ref="AR10:BI10" si="1">+$AS$17-AR9</f>
        <v>15886.712282661931</v>
      </c>
      <c r="AS10" s="109">
        <f t="shared" si="1"/>
        <v>15291.991838418326</v>
      </c>
      <c r="AT10" s="109">
        <f t="shared" si="1"/>
        <v>14679.124452733959</v>
      </c>
      <c r="AU10" s="109">
        <f t="shared" si="1"/>
        <v>14047.731156143476</v>
      </c>
      <c r="AV10" s="109">
        <f t="shared" si="1"/>
        <v>13397.425992182718</v>
      </c>
      <c r="AW10" s="109">
        <f t="shared" si="1"/>
        <v>-41272.184104241926</v>
      </c>
      <c r="AX10" s="109">
        <f t="shared" si="1"/>
        <v>11164.301170876191</v>
      </c>
      <c r="AY10" s="109">
        <f t="shared" si="1"/>
        <v>10440.720652016666</v>
      </c>
      <c r="AZ10" s="109">
        <f t="shared" si="1"/>
        <v>9696.3829963368771</v>
      </c>
      <c r="BA10" s="109">
        <f t="shared" si="1"/>
        <v>8930.8617372839071</v>
      </c>
      <c r="BB10" s="109">
        <f t="shared" si="1"/>
        <v>8143.7225999717193</v>
      </c>
      <c r="BC10" s="109">
        <f t="shared" si="1"/>
        <v>-46665.476634269755</v>
      </c>
      <c r="BD10" s="109">
        <f t="shared" si="1"/>
        <v>5628.6143357853871</v>
      </c>
      <c r="BE10" s="109">
        <f t="shared" si="1"/>
        <v>4759.7834783495055</v>
      </c>
      <c r="BF10" s="109">
        <f t="shared" si="1"/>
        <v>3867.2877063075139</v>
      </c>
      <c r="BG10" s="109">
        <f t="shared" si="1"/>
        <v>2950.647916069167</v>
      </c>
      <c r="BH10" s="109">
        <f t="shared" si="1"/>
        <v>2009.3762879429269</v>
      </c>
      <c r="BI10" s="109">
        <f t="shared" si="1"/>
        <v>-52957.023864567309</v>
      </c>
      <c r="BJ10" s="3">
        <f>SUM(AR10:BI10)</f>
        <v>1.280568540096283E-9</v>
      </c>
    </row>
    <row r="11" spans="1:62" ht="19.5" thickBot="1" x14ac:dyDescent="0.35">
      <c r="A11" s="1"/>
      <c r="B11" s="1"/>
      <c r="C11" s="1"/>
      <c r="D11" s="1"/>
      <c r="E11" s="1"/>
      <c r="F11" s="2"/>
      <c r="G11" s="12">
        <v>1</v>
      </c>
      <c r="H11" s="73">
        <f>-PPMT($H$5,G11,$G$28,$H$4,0,0)</f>
        <v>458838.43105771183</v>
      </c>
      <c r="I11" s="9">
        <f>-IPMT($H$5,G11,$G$28,$H$4,0,0)</f>
        <v>90000</v>
      </c>
      <c r="J11" s="10">
        <f>+H11+I11</f>
        <v>548838.43105771183</v>
      </c>
      <c r="K11" s="12"/>
      <c r="L11" s="13">
        <f>-J11</f>
        <v>-548838.43105771183</v>
      </c>
      <c r="M11" s="13"/>
      <c r="N11" s="13">
        <f t="shared" ref="N11:N28" si="2">-J11*$H$8</f>
        <v>-2744.1921552885592</v>
      </c>
      <c r="O11" s="21">
        <f>SUM(K11:N11)</f>
        <v>-551582.62321300036</v>
      </c>
      <c r="P11" s="12">
        <v>1</v>
      </c>
      <c r="Q11" s="42">
        <f>O10</f>
        <v>9000000</v>
      </c>
      <c r="R11" s="42">
        <f>+Q11*$O$9</f>
        <v>145699.89976416164</v>
      </c>
      <c r="S11" s="42">
        <f>+O11</f>
        <v>-551582.62321300036</v>
      </c>
      <c r="T11" s="55">
        <f>+Q11+R11+S11</f>
        <v>8594117.276551161</v>
      </c>
      <c r="U11" s="12" t="s">
        <v>33</v>
      </c>
      <c r="V11" s="48" t="s">
        <v>31</v>
      </c>
      <c r="W11" s="48">
        <f>+Q11</f>
        <v>9000000</v>
      </c>
      <c r="X11" s="48"/>
      <c r="Y11" s="44"/>
      <c r="Z11" s="36">
        <v>1</v>
      </c>
      <c r="AA11" s="75">
        <f>-R11</f>
        <v>-145699.89976416164</v>
      </c>
      <c r="AB11" s="42">
        <f>-I11</f>
        <v>-90000</v>
      </c>
      <c r="AC11" s="42">
        <f>N11</f>
        <v>-2744.1921552885592</v>
      </c>
      <c r="AD11" s="44">
        <f>M11</f>
        <v>0</v>
      </c>
      <c r="AE11" s="42">
        <f t="shared" ref="AE11:AE17" si="3">+AB11+AC11+AD11</f>
        <v>-92744.192155288561</v>
      </c>
      <c r="AF11" s="71">
        <f t="shared" ref="AF11:AF19" si="4">+AE11-AA11</f>
        <v>52955.707608873083</v>
      </c>
      <c r="AG11" s="74">
        <f>+AF11</f>
        <v>52955.707608873083</v>
      </c>
      <c r="AI11" s="81">
        <f>SUM(H12:$H$28)</f>
        <v>8541161.5689422861</v>
      </c>
      <c r="AJ11" s="13">
        <f t="shared" ref="AJ11:AJ28" si="5">+T11</f>
        <v>8594117.276551161</v>
      </c>
      <c r="AK11" s="58">
        <f>+AJ11-AI11</f>
        <v>52955.707608874887</v>
      </c>
      <c r="AL11" s="42">
        <f t="shared" ref="AL11:AL28" si="6">+AK11*$AL$8</f>
        <v>15886.712282662465</v>
      </c>
      <c r="AM11" s="110">
        <f>+AL11</f>
        <v>15886.712282662465</v>
      </c>
      <c r="AN11" s="76">
        <v>0.7</v>
      </c>
      <c r="AO11" s="77" t="s">
        <v>89</v>
      </c>
      <c r="AP11" s="77"/>
      <c r="AQ11" s="77"/>
      <c r="AR11" s="115">
        <f>SUM(AR8:AR10)</f>
        <v>350000</v>
      </c>
      <c r="AS11" s="108">
        <f t="shared" ref="AS11:BI11" si="7">SUM(AS8:AS10)</f>
        <v>350000</v>
      </c>
      <c r="AT11" s="108">
        <f t="shared" si="7"/>
        <v>350000</v>
      </c>
      <c r="AU11" s="108">
        <f t="shared" si="7"/>
        <v>350000</v>
      </c>
      <c r="AV11" s="108">
        <f t="shared" si="7"/>
        <v>350000</v>
      </c>
      <c r="AW11" s="108">
        <f t="shared" si="7"/>
        <v>350000</v>
      </c>
      <c r="AX11" s="108">
        <f t="shared" si="7"/>
        <v>350000</v>
      </c>
      <c r="AY11" s="108">
        <f t="shared" si="7"/>
        <v>350000</v>
      </c>
      <c r="AZ11" s="108">
        <f t="shared" si="7"/>
        <v>350000</v>
      </c>
      <c r="BA11" s="108">
        <f t="shared" si="7"/>
        <v>350000</v>
      </c>
      <c r="BB11" s="108">
        <f t="shared" si="7"/>
        <v>350000</v>
      </c>
      <c r="BC11" s="108">
        <f t="shared" si="7"/>
        <v>350000</v>
      </c>
      <c r="BD11" s="108">
        <f t="shared" si="7"/>
        <v>350000</v>
      </c>
      <c r="BE11" s="108">
        <f t="shared" si="7"/>
        <v>350000</v>
      </c>
      <c r="BF11" s="108">
        <f t="shared" si="7"/>
        <v>350000</v>
      </c>
      <c r="BG11" s="108">
        <f t="shared" si="7"/>
        <v>350000</v>
      </c>
      <c r="BH11" s="108">
        <f t="shared" si="7"/>
        <v>350000</v>
      </c>
      <c r="BI11" s="108">
        <f t="shared" si="7"/>
        <v>350000</v>
      </c>
    </row>
    <row r="12" spans="1:62" ht="19.5" thickBot="1" x14ac:dyDescent="0.35">
      <c r="A12" s="1"/>
      <c r="B12" s="1"/>
      <c r="C12" s="1"/>
      <c r="D12" s="1"/>
      <c r="E12" s="1"/>
      <c r="F12" s="2"/>
      <c r="G12" s="12">
        <f>+G11+1</f>
        <v>2</v>
      </c>
      <c r="H12" s="73">
        <f t="shared" ref="H12:H28" si="8">-PPMT($H$5,G12,$G$28,$H$4,0,0)</f>
        <v>463426.8153682889</v>
      </c>
      <c r="I12" s="9">
        <f t="shared" ref="I12:I28" si="9">-IPMT($H$5,G12,$G$28,$H$4,0,0)</f>
        <v>85411.615689422906</v>
      </c>
      <c r="J12" s="10">
        <f t="shared" ref="J12:J28" si="10">+H12+I12</f>
        <v>548838.43105771183</v>
      </c>
      <c r="K12" s="12"/>
      <c r="L12" s="13">
        <f t="shared" ref="L12:L28" si="11">-J12</f>
        <v>-548838.43105771183</v>
      </c>
      <c r="M12" s="13"/>
      <c r="N12" s="13">
        <f t="shared" si="2"/>
        <v>-2744.1921552885592</v>
      </c>
      <c r="O12" s="21">
        <f>SUM(K12:N12)</f>
        <v>-551582.62321300036</v>
      </c>
      <c r="P12" s="12">
        <f>+P11+1</f>
        <v>2</v>
      </c>
      <c r="Q12" s="42">
        <f>+T11</f>
        <v>8594117.276551161</v>
      </c>
      <c r="R12" s="42">
        <f>+Q12*$O$9</f>
        <v>139129.11397277267</v>
      </c>
      <c r="S12" s="42">
        <f>+O12</f>
        <v>-551582.62321300036</v>
      </c>
      <c r="T12" s="56">
        <f>+Q12+R12+S12</f>
        <v>8181663.7673109323</v>
      </c>
      <c r="U12" s="12"/>
      <c r="V12" s="48" t="s">
        <v>32</v>
      </c>
      <c r="W12" s="48"/>
      <c r="X12" s="48">
        <f>+W11</f>
        <v>9000000</v>
      </c>
      <c r="Y12" s="50">
        <f>+X12</f>
        <v>9000000</v>
      </c>
      <c r="Z12" s="36">
        <f>+Z11+1</f>
        <v>2</v>
      </c>
      <c r="AA12" s="75">
        <f t="shared" ref="AA12:AA28" si="12">-R12</f>
        <v>-139129.11397277267</v>
      </c>
      <c r="AB12" s="42">
        <f t="shared" ref="AB12:AB28" si="13">-I12</f>
        <v>-85411.615689422906</v>
      </c>
      <c r="AC12" s="42">
        <f t="shared" ref="AC12:AC28" si="14">N12</f>
        <v>-2744.1921552885592</v>
      </c>
      <c r="AD12" s="44">
        <f t="shared" ref="AD12:AD28" si="15">M12</f>
        <v>0</v>
      </c>
      <c r="AE12" s="42">
        <f t="shared" si="3"/>
        <v>-88155.807844711468</v>
      </c>
      <c r="AF12" s="71">
        <f t="shared" si="4"/>
        <v>50973.306128061202</v>
      </c>
      <c r="AG12" s="74">
        <f t="shared" ref="AG12:AG28" si="16">+AF12+AG11</f>
        <v>103929.01373693428</v>
      </c>
      <c r="AI12" s="81">
        <f>SUM(H13:$H$28)</f>
        <v>8077734.7535739969</v>
      </c>
      <c r="AJ12" s="13">
        <f t="shared" si="5"/>
        <v>8181663.7673109323</v>
      </c>
      <c r="AK12" s="58">
        <f t="shared" ref="AK12:AK28" si="17">+AJ12-AI12</f>
        <v>103929.01373693533</v>
      </c>
      <c r="AL12" s="42">
        <f t="shared" si="6"/>
        <v>31178.704121080598</v>
      </c>
      <c r="AM12" s="110">
        <f t="shared" ref="AM12:AM21" si="18">+AL12-AL11</f>
        <v>15291.991838418133</v>
      </c>
    </row>
    <row r="13" spans="1:62" ht="19.5" thickBot="1" x14ac:dyDescent="0.35">
      <c r="A13" s="1"/>
      <c r="B13" s="1"/>
      <c r="C13" s="1"/>
      <c r="D13" s="1"/>
      <c r="E13" s="1"/>
      <c r="F13" s="2"/>
      <c r="G13" s="12">
        <f t="shared" ref="G13:G28" si="19">+G12+1</f>
        <v>3</v>
      </c>
      <c r="H13" s="73">
        <f t="shared" si="8"/>
        <v>468061.08352197189</v>
      </c>
      <c r="I13" s="9">
        <f t="shared" si="9"/>
        <v>80777.347535740002</v>
      </c>
      <c r="J13" s="10">
        <f t="shared" si="10"/>
        <v>548838.43105771183</v>
      </c>
      <c r="K13" s="12"/>
      <c r="L13" s="13">
        <f t="shared" si="11"/>
        <v>-548838.43105771183</v>
      </c>
      <c r="M13" s="13"/>
      <c r="N13" s="13">
        <f t="shared" si="2"/>
        <v>-2744.1921552885592</v>
      </c>
      <c r="O13" s="21">
        <f>SUM(K13:N13)</f>
        <v>-551582.62321300036</v>
      </c>
      <c r="P13" s="12">
        <f t="shared" ref="P13:P28" si="20">+P12+1</f>
        <v>3</v>
      </c>
      <c r="Q13" s="42">
        <f>+T12</f>
        <v>8181663.7673109323</v>
      </c>
      <c r="R13" s="42">
        <f>+Q13*$O$9</f>
        <v>132451.9545334751</v>
      </c>
      <c r="S13" s="42">
        <f>+O13</f>
        <v>-551582.62321300036</v>
      </c>
      <c r="T13" s="57">
        <f>+Q13+R13+S13</f>
        <v>7762533.0986314071</v>
      </c>
      <c r="U13" s="12"/>
      <c r="V13" s="42"/>
      <c r="W13" s="42"/>
      <c r="X13" s="42"/>
      <c r="Y13" s="44"/>
      <c r="Z13" s="36">
        <f t="shared" ref="Z13:Z28" si="21">+Z12+1</f>
        <v>3</v>
      </c>
      <c r="AA13" s="75">
        <f t="shared" si="12"/>
        <v>-132451.9545334751</v>
      </c>
      <c r="AB13" s="42">
        <f t="shared" si="13"/>
        <v>-80777.347535740002</v>
      </c>
      <c r="AC13" s="42">
        <f t="shared" si="14"/>
        <v>-2744.1921552885592</v>
      </c>
      <c r="AD13" s="44">
        <f t="shared" si="15"/>
        <v>0</v>
      </c>
      <c r="AE13" s="42">
        <f t="shared" si="3"/>
        <v>-83521.539691028564</v>
      </c>
      <c r="AF13" s="71">
        <f t="shared" si="4"/>
        <v>48930.414842446538</v>
      </c>
      <c r="AG13" s="74">
        <f t="shared" si="16"/>
        <v>152859.42857938082</v>
      </c>
      <c r="AI13" s="81">
        <f>SUM(H14:$H$28)</f>
        <v>7609673.6700520255</v>
      </c>
      <c r="AJ13" s="13">
        <f t="shared" si="5"/>
        <v>7762533.0986314071</v>
      </c>
      <c r="AK13" s="58">
        <f t="shared" si="17"/>
        <v>152859.42857938167</v>
      </c>
      <c r="AL13" s="42">
        <f t="shared" si="6"/>
        <v>45857.828573814499</v>
      </c>
      <c r="AM13" s="110">
        <f t="shared" si="18"/>
        <v>14679.1244527339</v>
      </c>
    </row>
    <row r="14" spans="1:62" ht="19.5" thickBot="1" x14ac:dyDescent="0.35">
      <c r="A14" s="1"/>
      <c r="B14" s="1"/>
      <c r="C14" s="1"/>
      <c r="D14" s="1"/>
      <c r="E14" s="1"/>
      <c r="F14" s="2"/>
      <c r="G14" s="12">
        <f t="shared" si="19"/>
        <v>4</v>
      </c>
      <c r="H14" s="73">
        <f t="shared" si="8"/>
        <v>472741.69435719156</v>
      </c>
      <c r="I14" s="9">
        <f t="shared" si="9"/>
        <v>76096.736700520269</v>
      </c>
      <c r="J14" s="10">
        <f t="shared" si="10"/>
        <v>548838.43105771183</v>
      </c>
      <c r="K14" s="12"/>
      <c r="L14" s="13">
        <f t="shared" si="11"/>
        <v>-548838.43105771183</v>
      </c>
      <c r="M14" s="13"/>
      <c r="N14" s="13">
        <f t="shared" si="2"/>
        <v>-2744.1921552885592</v>
      </c>
      <c r="O14" s="21">
        <f>SUM(K14:N14)</f>
        <v>-551582.62321300036</v>
      </c>
      <c r="P14" s="12">
        <f t="shared" si="20"/>
        <v>4</v>
      </c>
      <c r="Q14" s="42">
        <f t="shared" ref="Q14:Q28" si="22">+T13</f>
        <v>7762533.0986314071</v>
      </c>
      <c r="R14" s="42">
        <f t="shared" ref="R14:R28" si="23">+Q14*$O$9</f>
        <v>125666.69937628701</v>
      </c>
      <c r="S14" s="42">
        <f t="shared" ref="S14:S28" si="24">+O14</f>
        <v>-551582.62321300036</v>
      </c>
      <c r="T14" s="42">
        <f t="shared" ref="T14:T28" si="25">+Q14+R14+S14</f>
        <v>7336617.1747946935</v>
      </c>
      <c r="U14" s="49">
        <v>1</v>
      </c>
      <c r="V14" s="48" t="s">
        <v>32</v>
      </c>
      <c r="W14" s="48">
        <f>+X16-W15</f>
        <v>405882.72344883869</v>
      </c>
      <c r="X14" s="48"/>
      <c r="Y14" s="51">
        <f>+Y12-W14</f>
        <v>8594117.276551161</v>
      </c>
      <c r="Z14" s="36">
        <f t="shared" si="21"/>
        <v>4</v>
      </c>
      <c r="AA14" s="75">
        <f t="shared" si="12"/>
        <v>-125666.69937628701</v>
      </c>
      <c r="AB14" s="42">
        <f t="shared" si="13"/>
        <v>-76096.736700520269</v>
      </c>
      <c r="AC14" s="42">
        <f t="shared" si="14"/>
        <v>-2744.1921552885592</v>
      </c>
      <c r="AD14" s="44">
        <f t="shared" si="15"/>
        <v>0</v>
      </c>
      <c r="AE14" s="42">
        <f t="shared" si="3"/>
        <v>-78840.92885580883</v>
      </c>
      <c r="AF14" s="71">
        <f t="shared" si="4"/>
        <v>46825.770520478181</v>
      </c>
      <c r="AG14" s="74">
        <f t="shared" si="16"/>
        <v>199685.19909985899</v>
      </c>
      <c r="AI14" s="81">
        <f>SUM(H15:$H$28)</f>
        <v>7136931.9756948333</v>
      </c>
      <c r="AJ14" s="13">
        <f t="shared" si="5"/>
        <v>7336617.1747946935</v>
      </c>
      <c r="AK14" s="58">
        <f t="shared" si="17"/>
        <v>199685.19909986015</v>
      </c>
      <c r="AL14" s="42">
        <f t="shared" si="6"/>
        <v>59905.55972995804</v>
      </c>
      <c r="AM14" s="110">
        <f t="shared" si="18"/>
        <v>14047.731156143542</v>
      </c>
    </row>
    <row r="15" spans="1:62" x14ac:dyDescent="0.3">
      <c r="A15" s="1"/>
      <c r="B15" s="1"/>
      <c r="C15" s="1"/>
      <c r="D15" s="1"/>
      <c r="E15" s="1"/>
      <c r="F15" s="2"/>
      <c r="G15" s="12">
        <f t="shared" si="19"/>
        <v>5</v>
      </c>
      <c r="H15" s="73">
        <f t="shared" si="8"/>
        <v>477469.1113007635</v>
      </c>
      <c r="I15" s="9">
        <f t="shared" si="9"/>
        <v>71369.31975694836</v>
      </c>
      <c r="J15" s="10">
        <f t="shared" si="10"/>
        <v>548838.43105771183</v>
      </c>
      <c r="K15" s="12"/>
      <c r="L15" s="13">
        <f t="shared" si="11"/>
        <v>-548838.43105771183</v>
      </c>
      <c r="M15" s="13"/>
      <c r="N15" s="13">
        <f t="shared" si="2"/>
        <v>-2744.1921552885592</v>
      </c>
      <c r="O15" s="21">
        <f t="shared" ref="O15:O28" si="26">SUM(K15:N15)</f>
        <v>-551582.62321300036</v>
      </c>
      <c r="P15" s="12">
        <f t="shared" si="20"/>
        <v>5</v>
      </c>
      <c r="Q15" s="42">
        <f t="shared" si="22"/>
        <v>7336617.1747946935</v>
      </c>
      <c r="R15" s="42">
        <f t="shared" si="23"/>
        <v>118771.59855284596</v>
      </c>
      <c r="S15" s="42">
        <f t="shared" si="24"/>
        <v>-551582.62321300036</v>
      </c>
      <c r="T15" s="42">
        <f t="shared" si="25"/>
        <v>6903806.1501345392</v>
      </c>
      <c r="U15" s="12"/>
      <c r="V15" s="48" t="s">
        <v>34</v>
      </c>
      <c r="W15" s="48">
        <f>VLOOKUP(U14,$P$10:$T$28,3,FALSE)</f>
        <v>145699.89976416164</v>
      </c>
      <c r="X15" s="48"/>
      <c r="Y15" s="44"/>
      <c r="Z15" s="36">
        <f t="shared" si="21"/>
        <v>5</v>
      </c>
      <c r="AA15" s="75">
        <f t="shared" si="12"/>
        <v>-118771.59855284596</v>
      </c>
      <c r="AB15" s="42">
        <f t="shared" si="13"/>
        <v>-71369.31975694836</v>
      </c>
      <c r="AC15" s="42">
        <f t="shared" si="14"/>
        <v>-2744.1921552885592</v>
      </c>
      <c r="AD15" s="44">
        <f t="shared" si="15"/>
        <v>0</v>
      </c>
      <c r="AE15" s="42">
        <f t="shared" si="3"/>
        <v>-74113.511912236921</v>
      </c>
      <c r="AF15" s="71">
        <f t="shared" si="4"/>
        <v>44658.086640609035</v>
      </c>
      <c r="AG15" s="74">
        <f t="shared" si="16"/>
        <v>244343.28574046801</v>
      </c>
      <c r="AI15" s="81">
        <f>SUM(H16:$H$28)</f>
        <v>6659462.8643940706</v>
      </c>
      <c r="AJ15" s="13">
        <f t="shared" si="5"/>
        <v>6903806.1501345392</v>
      </c>
      <c r="AK15" s="58">
        <f t="shared" si="17"/>
        <v>244343.28574046865</v>
      </c>
      <c r="AL15" s="42">
        <f t="shared" si="6"/>
        <v>73302.985722140598</v>
      </c>
      <c r="AM15" s="110">
        <f t="shared" si="18"/>
        <v>13397.425992182558</v>
      </c>
    </row>
    <row r="16" spans="1:62" x14ac:dyDescent="0.3">
      <c r="A16" s="1"/>
      <c r="B16" s="1"/>
      <c r="C16" s="1"/>
      <c r="D16" s="1"/>
      <c r="E16" s="1"/>
      <c r="F16" s="2"/>
      <c r="G16" s="12">
        <f t="shared" si="19"/>
        <v>6</v>
      </c>
      <c r="H16" s="73">
        <f t="shared" si="8"/>
        <v>482243.80241377116</v>
      </c>
      <c r="I16" s="9">
        <f t="shared" si="9"/>
        <v>66594.628643940727</v>
      </c>
      <c r="J16" s="10">
        <f t="shared" si="10"/>
        <v>548838.43105771183</v>
      </c>
      <c r="K16" s="12"/>
      <c r="L16" s="13">
        <f t="shared" si="11"/>
        <v>-548838.43105771183</v>
      </c>
      <c r="M16" s="13">
        <f>-H4*H7</f>
        <v>-180000</v>
      </c>
      <c r="N16" s="13">
        <f t="shared" si="2"/>
        <v>-2744.1921552885592</v>
      </c>
      <c r="O16" s="21">
        <f t="shared" si="26"/>
        <v>-731582.62321300036</v>
      </c>
      <c r="P16" s="12">
        <f t="shared" si="20"/>
        <v>6</v>
      </c>
      <c r="Q16" s="42">
        <f t="shared" si="22"/>
        <v>6903806.1501345392</v>
      </c>
      <c r="R16" s="42">
        <f t="shared" si="23"/>
        <v>111764.87378508945</v>
      </c>
      <c r="S16" s="42">
        <f t="shared" si="24"/>
        <v>-731582.62321300036</v>
      </c>
      <c r="T16" s="42">
        <f t="shared" si="25"/>
        <v>6283988.4007066283</v>
      </c>
      <c r="U16" s="12"/>
      <c r="V16" s="48" t="s">
        <v>31</v>
      </c>
      <c r="W16" s="48"/>
      <c r="X16" s="48">
        <f>-VLOOKUP(U14,$P$10:$T$28,4,FALSE)</f>
        <v>551582.62321300036</v>
      </c>
      <c r="Y16" s="44"/>
      <c r="Z16" s="36">
        <f t="shared" si="21"/>
        <v>6</v>
      </c>
      <c r="AA16" s="75">
        <f t="shared" si="12"/>
        <v>-111764.87378508945</v>
      </c>
      <c r="AB16" s="42">
        <f t="shared" si="13"/>
        <v>-66594.628643940727</v>
      </c>
      <c r="AC16" s="42">
        <f t="shared" si="14"/>
        <v>-2744.1921552885592</v>
      </c>
      <c r="AD16" s="44">
        <f t="shared" si="15"/>
        <v>-180000</v>
      </c>
      <c r="AE16" s="42">
        <f t="shared" si="3"/>
        <v>-249338.82079922929</v>
      </c>
      <c r="AF16" s="71">
        <f t="shared" si="4"/>
        <v>-137573.94701413985</v>
      </c>
      <c r="AG16" s="74">
        <f t="shared" si="16"/>
        <v>106769.33872632816</v>
      </c>
      <c r="AI16" s="81">
        <f>SUM(H17:$H$28)</f>
        <v>6177219.0619802997</v>
      </c>
      <c r="AJ16" s="13">
        <f t="shared" si="5"/>
        <v>6283988.4007066283</v>
      </c>
      <c r="AK16" s="58">
        <f t="shared" si="17"/>
        <v>106769.33872632869</v>
      </c>
      <c r="AL16" s="42">
        <f t="shared" si="6"/>
        <v>32030.801617898604</v>
      </c>
      <c r="AM16" s="110">
        <f t="shared" si="18"/>
        <v>-41272.184104241998</v>
      </c>
      <c r="AQ16" s="100" t="s">
        <v>77</v>
      </c>
      <c r="AR16" s="101">
        <v>500000</v>
      </c>
    </row>
    <row r="17" spans="1:61" ht="19.5" thickBot="1" x14ac:dyDescent="0.35">
      <c r="A17" s="1"/>
      <c r="B17" s="1"/>
      <c r="C17" s="1"/>
      <c r="D17" s="1"/>
      <c r="E17" s="1"/>
      <c r="F17" s="2"/>
      <c r="G17" s="12">
        <f t="shared" si="19"/>
        <v>7</v>
      </c>
      <c r="H17" s="73">
        <f t="shared" si="8"/>
        <v>487066.24043790885</v>
      </c>
      <c r="I17" s="9">
        <f t="shared" si="9"/>
        <v>61772.190619803019</v>
      </c>
      <c r="J17" s="10">
        <f t="shared" si="10"/>
        <v>548838.43105771183</v>
      </c>
      <c r="K17" s="12"/>
      <c r="L17" s="13">
        <f t="shared" si="11"/>
        <v>-548838.43105771183</v>
      </c>
      <c r="M17" s="13"/>
      <c r="N17" s="13">
        <f t="shared" si="2"/>
        <v>-2744.1921552885592</v>
      </c>
      <c r="O17" s="21">
        <f t="shared" si="26"/>
        <v>-551582.62321300036</v>
      </c>
      <c r="P17" s="12">
        <f t="shared" si="20"/>
        <v>7</v>
      </c>
      <c r="Q17" s="42">
        <f t="shared" si="22"/>
        <v>6283988.4007066283</v>
      </c>
      <c r="R17" s="42">
        <f t="shared" si="23"/>
        <v>101730.72001134558</v>
      </c>
      <c r="S17" s="42">
        <f t="shared" si="24"/>
        <v>-551582.62321300036</v>
      </c>
      <c r="T17" s="42">
        <f t="shared" si="25"/>
        <v>5834136.4975049738</v>
      </c>
      <c r="U17" s="12"/>
      <c r="V17" s="42"/>
      <c r="W17" s="42"/>
      <c r="X17" s="42"/>
      <c r="Y17" s="44"/>
      <c r="Z17" s="36">
        <f t="shared" si="21"/>
        <v>7</v>
      </c>
      <c r="AA17" s="75">
        <f t="shared" si="12"/>
        <v>-101730.72001134558</v>
      </c>
      <c r="AB17" s="42">
        <f t="shared" si="13"/>
        <v>-61772.190619803019</v>
      </c>
      <c r="AC17" s="42">
        <f t="shared" si="14"/>
        <v>-2744.1921552885592</v>
      </c>
      <c r="AD17" s="44">
        <f t="shared" si="15"/>
        <v>0</v>
      </c>
      <c r="AE17" s="42">
        <f t="shared" si="3"/>
        <v>-64516.382775091581</v>
      </c>
      <c r="AF17" s="71">
        <f t="shared" si="4"/>
        <v>37214.337236253996</v>
      </c>
      <c r="AG17" s="74">
        <f t="shared" si="16"/>
        <v>143983.67596258217</v>
      </c>
      <c r="AI17" s="81">
        <f>SUM(H18:$H$28)</f>
        <v>5690152.8215423916</v>
      </c>
      <c r="AJ17" s="13">
        <f t="shared" si="5"/>
        <v>5834136.4975049738</v>
      </c>
      <c r="AK17" s="58">
        <f t="shared" si="17"/>
        <v>143983.67596258223</v>
      </c>
      <c r="AL17" s="42">
        <f t="shared" si="6"/>
        <v>43195.102788774668</v>
      </c>
      <c r="AM17" s="110">
        <f t="shared" si="18"/>
        <v>11164.301170876064</v>
      </c>
      <c r="AQ17" s="102" t="s">
        <v>90</v>
      </c>
      <c r="AR17" s="103">
        <v>18</v>
      </c>
      <c r="AS17" s="107">
        <f>+AR19/AR17</f>
        <v>-150000</v>
      </c>
    </row>
    <row r="18" spans="1:61" ht="19.5" thickBot="1" x14ac:dyDescent="0.35">
      <c r="A18" s="1"/>
      <c r="B18" s="1"/>
      <c r="C18" s="1"/>
      <c r="D18" s="1"/>
      <c r="E18" s="1"/>
      <c r="F18" s="2"/>
      <c r="G18" s="12">
        <f t="shared" si="19"/>
        <v>8</v>
      </c>
      <c r="H18" s="73">
        <f t="shared" si="8"/>
        <v>491936.90284228796</v>
      </c>
      <c r="I18" s="9">
        <f t="shared" si="9"/>
        <v>56901.528215423925</v>
      </c>
      <c r="J18" s="10">
        <f t="shared" si="10"/>
        <v>548838.43105771183</v>
      </c>
      <c r="K18" s="12"/>
      <c r="L18" s="13">
        <f t="shared" si="11"/>
        <v>-548838.43105771183</v>
      </c>
      <c r="M18" s="13"/>
      <c r="N18" s="13">
        <f t="shared" si="2"/>
        <v>-2744.1921552885592</v>
      </c>
      <c r="O18" s="21">
        <f t="shared" si="26"/>
        <v>-551582.62321300036</v>
      </c>
      <c r="P18" s="12">
        <f t="shared" si="20"/>
        <v>8</v>
      </c>
      <c r="Q18" s="42">
        <f t="shared" si="22"/>
        <v>5834136.4975049738</v>
      </c>
      <c r="R18" s="42">
        <f t="shared" si="23"/>
        <v>94448.122544101308</v>
      </c>
      <c r="S18" s="42">
        <f t="shared" si="24"/>
        <v>-551582.62321300036</v>
      </c>
      <c r="T18" s="42">
        <f t="shared" si="25"/>
        <v>5377001.9968360746</v>
      </c>
      <c r="U18" s="49">
        <v>2</v>
      </c>
      <c r="V18" s="48" t="s">
        <v>32</v>
      </c>
      <c r="W18" s="48">
        <f>+X20-W19</f>
        <v>412453.50924022769</v>
      </c>
      <c r="X18" s="48"/>
      <c r="Y18" s="52">
        <f>+Y14-W18</f>
        <v>8181663.7673109332</v>
      </c>
      <c r="Z18" s="36">
        <f t="shared" si="21"/>
        <v>8</v>
      </c>
      <c r="AA18" s="75">
        <f t="shared" si="12"/>
        <v>-94448.122544101308</v>
      </c>
      <c r="AB18" s="42">
        <f t="shared" si="13"/>
        <v>-56901.528215423925</v>
      </c>
      <c r="AC18" s="42">
        <f t="shared" si="14"/>
        <v>-2744.1921552885592</v>
      </c>
      <c r="AD18" s="44">
        <f t="shared" si="15"/>
        <v>0</v>
      </c>
      <c r="AE18" s="42">
        <f t="shared" ref="AE18:AE28" si="27">+AB18+AC18+AD18</f>
        <v>-59645.720370712486</v>
      </c>
      <c r="AF18" s="71">
        <f t="shared" si="4"/>
        <v>34802.402173388822</v>
      </c>
      <c r="AG18" s="74">
        <f t="shared" si="16"/>
        <v>178786.07813597098</v>
      </c>
      <c r="AI18" s="81">
        <f>SUM(H19:$H$28)</f>
        <v>5198215.9187001027</v>
      </c>
      <c r="AJ18" s="13">
        <f t="shared" si="5"/>
        <v>5377001.9968360746</v>
      </c>
      <c r="AK18" s="58">
        <f t="shared" si="17"/>
        <v>178786.07813597191</v>
      </c>
      <c r="AL18" s="42">
        <f t="shared" si="6"/>
        <v>53635.823440791573</v>
      </c>
      <c r="AM18" s="110">
        <f t="shared" si="18"/>
        <v>10440.720652016906</v>
      </c>
      <c r="AQ18" s="102" t="s">
        <v>91</v>
      </c>
      <c r="AR18" s="104">
        <v>0.3</v>
      </c>
    </row>
    <row r="19" spans="1:61" x14ac:dyDescent="0.3">
      <c r="A19" s="1"/>
      <c r="B19" s="1"/>
      <c r="C19" s="1"/>
      <c r="D19" s="1"/>
      <c r="E19" s="1"/>
      <c r="F19" s="2"/>
      <c r="G19" s="12">
        <f t="shared" si="19"/>
        <v>9</v>
      </c>
      <c r="H19" s="73">
        <f t="shared" si="8"/>
        <v>496856.27187071077</v>
      </c>
      <c r="I19" s="9">
        <f t="shared" si="9"/>
        <v>51982.159187001038</v>
      </c>
      <c r="J19" s="10">
        <f t="shared" si="10"/>
        <v>548838.43105771183</v>
      </c>
      <c r="K19" s="12"/>
      <c r="L19" s="13">
        <f t="shared" si="11"/>
        <v>-548838.43105771183</v>
      </c>
      <c r="M19" s="13"/>
      <c r="N19" s="13">
        <f t="shared" si="2"/>
        <v>-2744.1921552885592</v>
      </c>
      <c r="O19" s="21">
        <f t="shared" si="26"/>
        <v>-551582.62321300036</v>
      </c>
      <c r="P19" s="12">
        <f t="shared" si="20"/>
        <v>9</v>
      </c>
      <c r="Q19" s="42">
        <f t="shared" si="22"/>
        <v>5377001.9968360746</v>
      </c>
      <c r="R19" s="42">
        <f t="shared" si="23"/>
        <v>87047.627996745898</v>
      </c>
      <c r="S19" s="42">
        <f t="shared" si="24"/>
        <v>-551582.62321300036</v>
      </c>
      <c r="T19" s="42">
        <f t="shared" si="25"/>
        <v>4912467.0016198196</v>
      </c>
      <c r="U19" s="12"/>
      <c r="V19" s="48" t="s">
        <v>34</v>
      </c>
      <c r="W19" s="48">
        <f>VLOOKUP(U18,$P$10:$T$28,3,FALSE)</f>
        <v>139129.11397277267</v>
      </c>
      <c r="X19" s="48"/>
      <c r="Y19" s="44"/>
      <c r="Z19" s="36">
        <f t="shared" si="21"/>
        <v>9</v>
      </c>
      <c r="AA19" s="75">
        <f t="shared" si="12"/>
        <v>-87047.627996745898</v>
      </c>
      <c r="AB19" s="42">
        <f t="shared" si="13"/>
        <v>-51982.159187001038</v>
      </c>
      <c r="AC19" s="42">
        <f t="shared" si="14"/>
        <v>-2744.1921552885592</v>
      </c>
      <c r="AD19" s="44">
        <f t="shared" si="15"/>
        <v>0</v>
      </c>
      <c r="AE19" s="42">
        <f t="shared" si="27"/>
        <v>-54726.351342289599</v>
      </c>
      <c r="AF19" s="71">
        <f t="shared" si="4"/>
        <v>32321.276654456298</v>
      </c>
      <c r="AG19" s="74">
        <f t="shared" si="16"/>
        <v>211107.35479042729</v>
      </c>
      <c r="AI19" s="81">
        <f>SUM(H20:$H$28)</f>
        <v>4701359.6468293928</v>
      </c>
      <c r="AJ19" s="13">
        <f t="shared" si="5"/>
        <v>4912467.0016198196</v>
      </c>
      <c r="AK19" s="58">
        <f t="shared" si="17"/>
        <v>211107.35479042679</v>
      </c>
      <c r="AL19" s="42">
        <f t="shared" si="6"/>
        <v>63332.206437128036</v>
      </c>
      <c r="AM19" s="110">
        <f t="shared" si="18"/>
        <v>9696.3829963364624</v>
      </c>
      <c r="AQ19" s="105" t="s">
        <v>92</v>
      </c>
      <c r="AR19" s="106">
        <f>-+AR16*AR17*AR18</f>
        <v>-2700000</v>
      </c>
    </row>
    <row r="20" spans="1:61" x14ac:dyDescent="0.3">
      <c r="A20" s="1"/>
      <c r="B20" s="1"/>
      <c r="C20" s="1"/>
      <c r="D20" s="1"/>
      <c r="E20" s="1"/>
      <c r="F20" s="2"/>
      <c r="G20" s="12">
        <f t="shared" si="19"/>
        <v>10</v>
      </c>
      <c r="H20" s="73">
        <f t="shared" si="8"/>
        <v>501824.83458941797</v>
      </c>
      <c r="I20" s="9">
        <f t="shared" si="9"/>
        <v>47013.596468293938</v>
      </c>
      <c r="J20" s="10">
        <f t="shared" si="10"/>
        <v>548838.43105771195</v>
      </c>
      <c r="K20" s="12"/>
      <c r="L20" s="13">
        <f t="shared" si="11"/>
        <v>-548838.43105771195</v>
      </c>
      <c r="M20" s="13"/>
      <c r="N20" s="13">
        <f t="shared" si="2"/>
        <v>-2744.1921552885597</v>
      </c>
      <c r="O20" s="21">
        <f t="shared" si="26"/>
        <v>-551582.62321300048</v>
      </c>
      <c r="P20" s="12">
        <f t="shared" si="20"/>
        <v>10</v>
      </c>
      <c r="Q20" s="42">
        <f t="shared" si="22"/>
        <v>4912467.0016198196</v>
      </c>
      <c r="R20" s="42">
        <f t="shared" si="23"/>
        <v>79527.32774786216</v>
      </c>
      <c r="S20" s="42">
        <f t="shared" si="24"/>
        <v>-551582.62321300048</v>
      </c>
      <c r="T20" s="58">
        <f t="shared" si="25"/>
        <v>4440411.7061546808</v>
      </c>
      <c r="U20" s="12"/>
      <c r="V20" s="48" t="s">
        <v>31</v>
      </c>
      <c r="W20" s="48"/>
      <c r="X20" s="48">
        <f>-VLOOKUP(U18,$P$10:$T$28,4,FALSE)</f>
        <v>551582.62321300036</v>
      </c>
      <c r="Y20" s="44"/>
      <c r="Z20" s="36">
        <f t="shared" si="21"/>
        <v>10</v>
      </c>
      <c r="AA20" s="75">
        <f t="shared" si="12"/>
        <v>-79527.32774786216</v>
      </c>
      <c r="AB20" s="42">
        <f t="shared" si="13"/>
        <v>-47013.596468293938</v>
      </c>
      <c r="AC20" s="42">
        <f t="shared" si="14"/>
        <v>-2744.1921552885597</v>
      </c>
      <c r="AD20" s="44">
        <f t="shared" si="15"/>
        <v>0</v>
      </c>
      <c r="AE20" s="42">
        <f t="shared" si="27"/>
        <v>-49757.788623582499</v>
      </c>
      <c r="AF20" s="71">
        <f t="shared" ref="AF20:AF28" si="28">+AE20-AA20</f>
        <v>29769.539124279661</v>
      </c>
      <c r="AG20" s="74">
        <f t="shared" si="16"/>
        <v>240876.89391470695</v>
      </c>
      <c r="AI20" s="81">
        <f>SUM(H21:$H$28)</f>
        <v>4199534.8122399747</v>
      </c>
      <c r="AJ20" s="13">
        <f t="shared" si="5"/>
        <v>4440411.7061546808</v>
      </c>
      <c r="AK20" s="58">
        <f t="shared" si="17"/>
        <v>240876.89391470607</v>
      </c>
      <c r="AL20" s="42">
        <f t="shared" si="6"/>
        <v>72263.068174411819</v>
      </c>
      <c r="AM20" s="110">
        <f t="shared" si="18"/>
        <v>8930.8617372837834</v>
      </c>
    </row>
    <row r="21" spans="1:61" ht="19.5" thickBot="1" x14ac:dyDescent="0.35">
      <c r="A21" s="1"/>
      <c r="B21" s="1"/>
      <c r="C21" s="1"/>
      <c r="D21" s="1"/>
      <c r="E21" s="1"/>
      <c r="F21" s="2"/>
      <c r="G21" s="12">
        <f t="shared" si="19"/>
        <v>11</v>
      </c>
      <c r="H21" s="73">
        <f t="shared" si="8"/>
        <v>506843.08293531212</v>
      </c>
      <c r="I21" s="9">
        <f t="shared" si="9"/>
        <v>41995.348122399751</v>
      </c>
      <c r="J21" s="10">
        <f t="shared" si="10"/>
        <v>548838.43105771183</v>
      </c>
      <c r="K21" s="12"/>
      <c r="L21" s="13">
        <f t="shared" si="11"/>
        <v>-548838.43105771183</v>
      </c>
      <c r="M21" s="13"/>
      <c r="N21" s="13">
        <f t="shared" si="2"/>
        <v>-2744.1921552885592</v>
      </c>
      <c r="O21" s="21">
        <f t="shared" si="26"/>
        <v>-551582.62321300036</v>
      </c>
      <c r="P21" s="12">
        <f t="shared" si="20"/>
        <v>11</v>
      </c>
      <c r="Q21" s="42">
        <f t="shared" si="22"/>
        <v>4440411.7061546808</v>
      </c>
      <c r="R21" s="42">
        <f t="shared" si="23"/>
        <v>71885.282277594102</v>
      </c>
      <c r="S21" s="42">
        <f t="shared" si="24"/>
        <v>-551582.62321300036</v>
      </c>
      <c r="T21" s="42">
        <f t="shared" si="25"/>
        <v>3960714.3652192745</v>
      </c>
      <c r="U21" s="12"/>
      <c r="V21" s="42"/>
      <c r="W21" s="42"/>
      <c r="X21" s="42"/>
      <c r="Y21" s="44"/>
      <c r="Z21" s="36">
        <f t="shared" si="21"/>
        <v>11</v>
      </c>
      <c r="AA21" s="75">
        <f t="shared" si="12"/>
        <v>-71885.282277594102</v>
      </c>
      <c r="AB21" s="42">
        <f t="shared" si="13"/>
        <v>-41995.348122399751</v>
      </c>
      <c r="AC21" s="42">
        <f t="shared" si="14"/>
        <v>-2744.1921552885592</v>
      </c>
      <c r="AD21" s="44">
        <f t="shared" si="15"/>
        <v>0</v>
      </c>
      <c r="AE21" s="42">
        <f t="shared" si="27"/>
        <v>-44739.540277688313</v>
      </c>
      <c r="AF21" s="71">
        <f t="shared" si="28"/>
        <v>27145.741999905789</v>
      </c>
      <c r="AG21" s="74">
        <f t="shared" si="16"/>
        <v>268022.63591461274</v>
      </c>
      <c r="AI21" s="81">
        <f>SUM(H22:$H$28)</f>
        <v>3692691.7293046624</v>
      </c>
      <c r="AJ21" s="13">
        <f t="shared" si="5"/>
        <v>3960714.3652192745</v>
      </c>
      <c r="AK21" s="58">
        <f t="shared" si="17"/>
        <v>268022.6359146121</v>
      </c>
      <c r="AL21" s="42">
        <f t="shared" si="6"/>
        <v>80406.790774383626</v>
      </c>
      <c r="AM21" s="110">
        <f t="shared" si="18"/>
        <v>8143.7225999718066</v>
      </c>
      <c r="AO21" s="4" t="s">
        <v>79</v>
      </c>
      <c r="AR21" s="95">
        <v>1</v>
      </c>
      <c r="AS21" s="96">
        <f>+AR21+1</f>
        <v>2</v>
      </c>
      <c r="AT21" s="96">
        <f t="shared" ref="AT21:BI21" si="29">+AS21+1</f>
        <v>3</v>
      </c>
      <c r="AU21" s="96">
        <f t="shared" si="29"/>
        <v>4</v>
      </c>
      <c r="AV21" s="96">
        <f t="shared" si="29"/>
        <v>5</v>
      </c>
      <c r="AW21" s="96">
        <f t="shared" si="29"/>
        <v>6</v>
      </c>
      <c r="AX21" s="96">
        <f t="shared" si="29"/>
        <v>7</v>
      </c>
      <c r="AY21" s="96">
        <f t="shared" si="29"/>
        <v>8</v>
      </c>
      <c r="AZ21" s="96">
        <f t="shared" si="29"/>
        <v>9</v>
      </c>
      <c r="BA21" s="96">
        <f t="shared" si="29"/>
        <v>10</v>
      </c>
      <c r="BB21" s="96">
        <f t="shared" si="29"/>
        <v>11</v>
      </c>
      <c r="BC21" s="96">
        <f t="shared" si="29"/>
        <v>12</v>
      </c>
      <c r="BD21" s="96">
        <f t="shared" si="29"/>
        <v>13</v>
      </c>
      <c r="BE21" s="96">
        <f t="shared" si="29"/>
        <v>14</v>
      </c>
      <c r="BF21" s="96">
        <f t="shared" si="29"/>
        <v>15</v>
      </c>
      <c r="BG21" s="96">
        <f t="shared" si="29"/>
        <v>16</v>
      </c>
      <c r="BH21" s="96">
        <f t="shared" si="29"/>
        <v>17</v>
      </c>
      <c r="BI21" s="97">
        <f t="shared" si="29"/>
        <v>18</v>
      </c>
    </row>
    <row r="22" spans="1:61" ht="19.5" thickBot="1" x14ac:dyDescent="0.35">
      <c r="A22" s="1"/>
      <c r="B22" s="1"/>
      <c r="C22" s="1"/>
      <c r="D22" s="1"/>
      <c r="E22" s="1"/>
      <c r="F22" s="2"/>
      <c r="G22" s="12">
        <f t="shared" si="19"/>
        <v>12</v>
      </c>
      <c r="H22" s="73">
        <f t="shared" si="8"/>
        <v>511911.51376466523</v>
      </c>
      <c r="I22" s="9">
        <f t="shared" si="9"/>
        <v>36926.917293046623</v>
      </c>
      <c r="J22" s="10">
        <f t="shared" si="10"/>
        <v>548838.43105771183</v>
      </c>
      <c r="K22" s="12"/>
      <c r="L22" s="13">
        <f t="shared" si="11"/>
        <v>-548838.43105771183</v>
      </c>
      <c r="M22" s="13">
        <f>+M16</f>
        <v>-180000</v>
      </c>
      <c r="N22" s="13">
        <f t="shared" si="2"/>
        <v>-2744.1921552885592</v>
      </c>
      <c r="O22" s="21">
        <f t="shared" si="26"/>
        <v>-731582.62321300036</v>
      </c>
      <c r="P22" s="12">
        <f t="shared" si="20"/>
        <v>12</v>
      </c>
      <c r="Q22" s="42">
        <f t="shared" si="22"/>
        <v>3960714.3652192745</v>
      </c>
      <c r="R22" s="42">
        <f t="shared" si="23"/>
        <v>64119.520667435936</v>
      </c>
      <c r="S22" s="42">
        <f t="shared" si="24"/>
        <v>-731582.62321300036</v>
      </c>
      <c r="T22" s="42">
        <f t="shared" si="25"/>
        <v>3293251.2626737105</v>
      </c>
      <c r="U22" s="49">
        <f>+U18+1</f>
        <v>3</v>
      </c>
      <c r="V22" s="48" t="s">
        <v>32</v>
      </c>
      <c r="W22" s="48">
        <f>+X24-W23</f>
        <v>419130.66867952526</v>
      </c>
      <c r="X22" s="48"/>
      <c r="Y22" s="53">
        <f>+Y18-W22</f>
        <v>7762533.0986314081</v>
      </c>
      <c r="Z22" s="36">
        <f t="shared" si="21"/>
        <v>12</v>
      </c>
      <c r="AA22" s="75">
        <f t="shared" si="12"/>
        <v>-64119.520667435936</v>
      </c>
      <c r="AB22" s="42">
        <f t="shared" si="13"/>
        <v>-36926.917293046623</v>
      </c>
      <c r="AC22" s="42">
        <f t="shared" si="14"/>
        <v>-2744.1921552885592</v>
      </c>
      <c r="AD22" s="44">
        <f t="shared" si="15"/>
        <v>-180000</v>
      </c>
      <c r="AE22" s="42">
        <f t="shared" si="27"/>
        <v>-219671.10944833519</v>
      </c>
      <c r="AF22" s="71">
        <f t="shared" si="28"/>
        <v>-155551.58878089924</v>
      </c>
      <c r="AG22" s="74">
        <f t="shared" si="16"/>
        <v>112471.04713371349</v>
      </c>
      <c r="AI22" s="81">
        <f>SUM(H23:$H$28)</f>
        <v>3180780.215539997</v>
      </c>
      <c r="AJ22" s="13">
        <f t="shared" si="5"/>
        <v>3293251.2626737105</v>
      </c>
      <c r="AK22" s="58">
        <f t="shared" si="17"/>
        <v>112471.04713371349</v>
      </c>
      <c r="AL22" s="42">
        <f t="shared" si="6"/>
        <v>33741.314140114046</v>
      </c>
      <c r="AM22" s="110">
        <f t="shared" ref="AM22:AM28" si="30">+AL22-AL21</f>
        <v>-46665.47663426958</v>
      </c>
      <c r="AO22" s="98" t="s">
        <v>80</v>
      </c>
      <c r="AP22" s="98"/>
      <c r="AQ22" s="98"/>
      <c r="AR22" s="98">
        <f t="shared" ref="AR22:BI22" si="31">+AR8</f>
        <v>500000</v>
      </c>
      <c r="AS22" s="98">
        <f t="shared" si="31"/>
        <v>500000</v>
      </c>
      <c r="AT22" s="98">
        <f t="shared" si="31"/>
        <v>500000</v>
      </c>
      <c r="AU22" s="98">
        <f t="shared" si="31"/>
        <v>500000</v>
      </c>
      <c r="AV22" s="98">
        <f t="shared" si="31"/>
        <v>500000</v>
      </c>
      <c r="AW22" s="98">
        <f t="shared" si="31"/>
        <v>500000</v>
      </c>
      <c r="AX22" s="98">
        <f t="shared" si="31"/>
        <v>500000</v>
      </c>
      <c r="AY22" s="98">
        <f t="shared" si="31"/>
        <v>500000</v>
      </c>
      <c r="AZ22" s="98">
        <f t="shared" si="31"/>
        <v>500000</v>
      </c>
      <c r="BA22" s="98">
        <f t="shared" si="31"/>
        <v>500000</v>
      </c>
      <c r="BB22" s="98">
        <f t="shared" si="31"/>
        <v>500000</v>
      </c>
      <c r="BC22" s="98">
        <f t="shared" si="31"/>
        <v>500000</v>
      </c>
      <c r="BD22" s="98">
        <f t="shared" si="31"/>
        <v>500000</v>
      </c>
      <c r="BE22" s="98">
        <f t="shared" si="31"/>
        <v>500000</v>
      </c>
      <c r="BF22" s="98">
        <f t="shared" si="31"/>
        <v>500000</v>
      </c>
      <c r="BG22" s="98">
        <f t="shared" si="31"/>
        <v>500000</v>
      </c>
      <c r="BH22" s="98">
        <f t="shared" si="31"/>
        <v>500000</v>
      </c>
      <c r="BI22" s="98">
        <f t="shared" si="31"/>
        <v>500000</v>
      </c>
    </row>
    <row r="23" spans="1:61" x14ac:dyDescent="0.3">
      <c r="A23" s="1"/>
      <c r="B23" s="1"/>
      <c r="C23" s="1"/>
      <c r="D23" s="1"/>
      <c r="E23" s="1"/>
      <c r="F23" s="2"/>
      <c r="G23" s="12">
        <f t="shared" si="19"/>
        <v>13</v>
      </c>
      <c r="H23" s="73">
        <f t="shared" si="8"/>
        <v>517030.62890231184</v>
      </c>
      <c r="I23" s="9">
        <f t="shared" si="9"/>
        <v>31807.802155399975</v>
      </c>
      <c r="J23" s="10">
        <f t="shared" si="10"/>
        <v>548838.43105771183</v>
      </c>
      <c r="K23" s="12"/>
      <c r="L23" s="13">
        <f t="shared" si="11"/>
        <v>-548838.43105771183</v>
      </c>
      <c r="M23" s="13"/>
      <c r="N23" s="13">
        <f t="shared" si="2"/>
        <v>-2744.1921552885592</v>
      </c>
      <c r="O23" s="21">
        <f t="shared" si="26"/>
        <v>-551582.62321300036</v>
      </c>
      <c r="P23" s="12">
        <f t="shared" si="20"/>
        <v>13</v>
      </c>
      <c r="Q23" s="42">
        <f t="shared" si="22"/>
        <v>3293251.2626737105</v>
      </c>
      <c r="R23" s="42">
        <f t="shared" si="23"/>
        <v>53314.042096639823</v>
      </c>
      <c r="S23" s="42">
        <f t="shared" si="24"/>
        <v>-551582.62321300036</v>
      </c>
      <c r="T23" s="42">
        <f t="shared" si="25"/>
        <v>2794982.6815573499</v>
      </c>
      <c r="U23" s="12"/>
      <c r="V23" s="48" t="s">
        <v>34</v>
      </c>
      <c r="W23" s="48">
        <f>VLOOKUP(U22,$P$10:$T$28,3,FALSE)</f>
        <v>132451.9545334751</v>
      </c>
      <c r="X23" s="48"/>
      <c r="Y23" s="44"/>
      <c r="Z23" s="36">
        <f t="shared" si="21"/>
        <v>13</v>
      </c>
      <c r="AA23" s="75">
        <f t="shared" si="12"/>
        <v>-53314.042096639823</v>
      </c>
      <c r="AB23" s="42">
        <f t="shared" si="13"/>
        <v>-31807.802155399975</v>
      </c>
      <c r="AC23" s="42">
        <f t="shared" si="14"/>
        <v>-2744.1921552885592</v>
      </c>
      <c r="AD23" s="44">
        <f t="shared" si="15"/>
        <v>0</v>
      </c>
      <c r="AE23" s="42">
        <f t="shared" si="27"/>
        <v>-34551.994310688533</v>
      </c>
      <c r="AF23" s="71">
        <f t="shared" si="28"/>
        <v>18762.04778595129</v>
      </c>
      <c r="AG23" s="74">
        <f t="shared" si="16"/>
        <v>131233.09491966479</v>
      </c>
      <c r="AI23" s="81">
        <f>SUM(H24:$H$28)</f>
        <v>2663749.5866376855</v>
      </c>
      <c r="AJ23" s="13">
        <f t="shared" si="5"/>
        <v>2794982.6815573499</v>
      </c>
      <c r="AK23" s="58">
        <f t="shared" si="17"/>
        <v>131233.09491966432</v>
      </c>
      <c r="AL23" s="42">
        <f t="shared" si="6"/>
        <v>39369.928475899294</v>
      </c>
      <c r="AM23" s="110">
        <f>+AL23-AL22</f>
        <v>5628.6143357852488</v>
      </c>
      <c r="AO23" s="99" t="s">
        <v>81</v>
      </c>
      <c r="AP23" s="99"/>
      <c r="AQ23" s="99"/>
      <c r="AR23" s="99">
        <f t="shared" ref="AR23:BI23" si="32">-VLOOKUP(AR$21,$Z$11:$AD$28,2,FALSE)</f>
        <v>145699.89976416164</v>
      </c>
      <c r="AS23" s="99">
        <f t="shared" si="32"/>
        <v>139129.11397277267</v>
      </c>
      <c r="AT23" s="99">
        <f t="shared" si="32"/>
        <v>132451.9545334751</v>
      </c>
      <c r="AU23" s="99">
        <f t="shared" si="32"/>
        <v>125666.69937628701</v>
      </c>
      <c r="AV23" s="99">
        <f t="shared" si="32"/>
        <v>118771.59855284596</v>
      </c>
      <c r="AW23" s="99">
        <f t="shared" si="32"/>
        <v>111764.87378508945</v>
      </c>
      <c r="AX23" s="99">
        <f t="shared" si="32"/>
        <v>101730.72001134558</v>
      </c>
      <c r="AY23" s="99">
        <f t="shared" si="32"/>
        <v>94448.122544101308</v>
      </c>
      <c r="AZ23" s="99">
        <f t="shared" si="32"/>
        <v>87047.627996745898</v>
      </c>
      <c r="BA23" s="99">
        <f t="shared" si="32"/>
        <v>79527.32774786216</v>
      </c>
      <c r="BB23" s="99">
        <f t="shared" si="32"/>
        <v>71885.282277594102</v>
      </c>
      <c r="BC23" s="99">
        <f t="shared" si="32"/>
        <v>64119.520667435936</v>
      </c>
      <c r="BD23" s="99">
        <f t="shared" si="32"/>
        <v>53314.042096639823</v>
      </c>
      <c r="BE23" s="99">
        <f t="shared" si="32"/>
        <v>45247.632949497063</v>
      </c>
      <c r="BF23" s="99">
        <f t="shared" si="32"/>
        <v>37050.637690777039</v>
      </c>
      <c r="BG23" s="99">
        <f t="shared" si="32"/>
        <v>28720.942277883369</v>
      </c>
      <c r="BH23" s="99">
        <f t="shared" si="32"/>
        <v>20256.398444242524</v>
      </c>
      <c r="BI23" s="99">
        <f t="shared" si="32"/>
        <v>11654.82314525603</v>
      </c>
    </row>
    <row r="24" spans="1:61" x14ac:dyDescent="0.3">
      <c r="A24" s="1"/>
      <c r="B24" s="1"/>
      <c r="C24" s="1"/>
      <c r="D24" s="1"/>
      <c r="E24" s="1"/>
      <c r="F24" s="2"/>
      <c r="G24" s="12">
        <f t="shared" si="19"/>
        <v>14</v>
      </c>
      <c r="H24" s="73">
        <f t="shared" si="8"/>
        <v>522200.93519133504</v>
      </c>
      <c r="I24" s="9">
        <f t="shared" si="9"/>
        <v>26637.495866376856</v>
      </c>
      <c r="J24" s="10">
        <f t="shared" si="10"/>
        <v>548838.43105771195</v>
      </c>
      <c r="K24" s="12"/>
      <c r="L24" s="13">
        <f t="shared" si="11"/>
        <v>-548838.43105771195</v>
      </c>
      <c r="M24" s="13"/>
      <c r="N24" s="13">
        <f t="shared" si="2"/>
        <v>-2744.1921552885597</v>
      </c>
      <c r="O24" s="21">
        <f t="shared" si="26"/>
        <v>-551582.62321300048</v>
      </c>
      <c r="P24" s="12">
        <f t="shared" si="20"/>
        <v>14</v>
      </c>
      <c r="Q24" s="42">
        <f t="shared" si="22"/>
        <v>2794982.6815573499</v>
      </c>
      <c r="R24" s="42">
        <f t="shared" si="23"/>
        <v>45247.632949497063</v>
      </c>
      <c r="S24" s="42">
        <f t="shared" si="24"/>
        <v>-551582.62321300048</v>
      </c>
      <c r="T24" s="42">
        <f t="shared" si="25"/>
        <v>2288647.6912938464</v>
      </c>
      <c r="U24" s="12"/>
      <c r="V24" s="48" t="s">
        <v>31</v>
      </c>
      <c r="W24" s="48"/>
      <c r="X24" s="48">
        <f>-VLOOKUP(U22,$P$10:$T$28,4,FALSE)</f>
        <v>551582.62321300036</v>
      </c>
      <c r="Y24" s="44"/>
      <c r="Z24" s="36">
        <f t="shared" si="21"/>
        <v>14</v>
      </c>
      <c r="AA24" s="75">
        <f t="shared" si="12"/>
        <v>-45247.632949497063</v>
      </c>
      <c r="AB24" s="42">
        <f t="shared" si="13"/>
        <v>-26637.495866376856</v>
      </c>
      <c r="AC24" s="42">
        <f t="shared" si="14"/>
        <v>-2744.1921552885597</v>
      </c>
      <c r="AD24" s="44">
        <f t="shared" si="15"/>
        <v>0</v>
      </c>
      <c r="AE24" s="42">
        <f t="shared" si="27"/>
        <v>-29381.688021665417</v>
      </c>
      <c r="AF24" s="71">
        <f t="shared" si="28"/>
        <v>15865.944927831646</v>
      </c>
      <c r="AG24" s="74">
        <f t="shared" si="16"/>
        <v>147099.03984749643</v>
      </c>
      <c r="AI24" s="81">
        <f>SUM(H25:$H$28)</f>
        <v>2141548.6514463504</v>
      </c>
      <c r="AJ24" s="13">
        <f t="shared" si="5"/>
        <v>2288647.6912938464</v>
      </c>
      <c r="AK24" s="58">
        <f t="shared" si="17"/>
        <v>147099.03984749597</v>
      </c>
      <c r="AL24" s="42">
        <f t="shared" si="6"/>
        <v>44129.711954248785</v>
      </c>
      <c r="AM24" s="110">
        <f>+AL24-AL23</f>
        <v>4759.7834783494909</v>
      </c>
      <c r="AO24" s="77" t="s">
        <v>82</v>
      </c>
      <c r="AP24" s="77"/>
      <c r="AQ24" s="77"/>
      <c r="AR24" s="77">
        <f t="shared" ref="AR24:BI24" si="33">VLOOKUP(AR$21,$Z$11:$AD$28,3,FALSE)</f>
        <v>-90000</v>
      </c>
      <c r="AS24" s="77">
        <f t="shared" si="33"/>
        <v>-85411.615689422906</v>
      </c>
      <c r="AT24" s="77">
        <f t="shared" si="33"/>
        <v>-80777.347535740002</v>
      </c>
      <c r="AU24" s="77">
        <f t="shared" si="33"/>
        <v>-76096.736700520269</v>
      </c>
      <c r="AV24" s="77">
        <f t="shared" si="33"/>
        <v>-71369.31975694836</v>
      </c>
      <c r="AW24" s="77">
        <f t="shared" si="33"/>
        <v>-66594.628643940727</v>
      </c>
      <c r="AX24" s="77">
        <f t="shared" si="33"/>
        <v>-61772.190619803019</v>
      </c>
      <c r="AY24" s="77">
        <f t="shared" si="33"/>
        <v>-56901.528215423925</v>
      </c>
      <c r="AZ24" s="77">
        <f t="shared" si="33"/>
        <v>-51982.159187001038</v>
      </c>
      <c r="BA24" s="77">
        <f t="shared" si="33"/>
        <v>-47013.596468293938</v>
      </c>
      <c r="BB24" s="77">
        <f t="shared" si="33"/>
        <v>-41995.348122399751</v>
      </c>
      <c r="BC24" s="77">
        <f t="shared" si="33"/>
        <v>-36926.917293046623</v>
      </c>
      <c r="BD24" s="77">
        <f t="shared" si="33"/>
        <v>-31807.802155399975</v>
      </c>
      <c r="BE24" s="77">
        <f t="shared" si="33"/>
        <v>-26637.495866376856</v>
      </c>
      <c r="BF24" s="77">
        <f t="shared" si="33"/>
        <v>-21415.486514463504</v>
      </c>
      <c r="BG24" s="77">
        <f t="shared" si="33"/>
        <v>-16141.257069031022</v>
      </c>
      <c r="BH24" s="77">
        <f t="shared" si="33"/>
        <v>-10814.285329144213</v>
      </c>
      <c r="BI24" s="77">
        <f t="shared" si="33"/>
        <v>-5434.0438718585347</v>
      </c>
    </row>
    <row r="25" spans="1:61" ht="19.5" thickBot="1" x14ac:dyDescent="0.35">
      <c r="A25" s="1"/>
      <c r="B25" s="1"/>
      <c r="C25" s="1"/>
      <c r="D25" s="1"/>
      <c r="E25" s="1"/>
      <c r="F25" s="2"/>
      <c r="G25" s="12">
        <f t="shared" si="19"/>
        <v>15</v>
      </c>
      <c r="H25" s="73">
        <f t="shared" si="8"/>
        <v>527422.94454324839</v>
      </c>
      <c r="I25" s="9">
        <f t="shared" si="9"/>
        <v>21415.486514463504</v>
      </c>
      <c r="J25" s="10">
        <f t="shared" si="10"/>
        <v>548838.43105771195</v>
      </c>
      <c r="K25" s="12"/>
      <c r="L25" s="13">
        <f t="shared" si="11"/>
        <v>-548838.43105771195</v>
      </c>
      <c r="M25" s="13"/>
      <c r="N25" s="13">
        <f t="shared" si="2"/>
        <v>-2744.1921552885597</v>
      </c>
      <c r="O25" s="21">
        <f t="shared" si="26"/>
        <v>-551582.62321300048</v>
      </c>
      <c r="P25" s="12">
        <f t="shared" si="20"/>
        <v>15</v>
      </c>
      <c r="Q25" s="42">
        <f t="shared" si="22"/>
        <v>2288647.6912938464</v>
      </c>
      <c r="R25" s="42">
        <f t="shared" si="23"/>
        <v>37050.637690777039</v>
      </c>
      <c r="S25" s="42">
        <f t="shared" si="24"/>
        <v>-551582.62321300048</v>
      </c>
      <c r="T25" s="42">
        <f t="shared" si="25"/>
        <v>1774115.7057716227</v>
      </c>
      <c r="U25" s="12"/>
      <c r="V25" s="42"/>
      <c r="W25" s="42"/>
      <c r="X25" s="42"/>
      <c r="Y25" s="44"/>
      <c r="Z25" s="36">
        <f t="shared" si="21"/>
        <v>15</v>
      </c>
      <c r="AA25" s="75">
        <f t="shared" si="12"/>
        <v>-37050.637690777039</v>
      </c>
      <c r="AB25" s="42">
        <f t="shared" si="13"/>
        <v>-21415.486514463504</v>
      </c>
      <c r="AC25" s="42">
        <f t="shared" si="14"/>
        <v>-2744.1921552885597</v>
      </c>
      <c r="AD25" s="44">
        <f t="shared" si="15"/>
        <v>0</v>
      </c>
      <c r="AE25" s="42">
        <f t="shared" si="27"/>
        <v>-24159.678669752066</v>
      </c>
      <c r="AF25" s="71">
        <f t="shared" si="28"/>
        <v>12890.959021024973</v>
      </c>
      <c r="AG25" s="74">
        <f t="shared" si="16"/>
        <v>159989.99886852142</v>
      </c>
      <c r="AI25" s="81">
        <f>SUM(H26:$H$28)</f>
        <v>1614125.7069031019</v>
      </c>
      <c r="AJ25" s="13">
        <f t="shared" si="5"/>
        <v>1774115.7057716227</v>
      </c>
      <c r="AK25" s="58">
        <f t="shared" si="17"/>
        <v>159989.99886852084</v>
      </c>
      <c r="AL25" s="42">
        <f t="shared" si="6"/>
        <v>47996.999660556248</v>
      </c>
      <c r="AM25" s="110">
        <f>+AL25-AL24</f>
        <v>3867.2877063074629</v>
      </c>
      <c r="AO25" s="77" t="s">
        <v>84</v>
      </c>
      <c r="AP25" s="77"/>
      <c r="AQ25" s="77"/>
      <c r="AR25" s="77">
        <f t="shared" ref="AR25:BI25" si="34">VLOOKUP(AR$21,$Z$11:$AD$28,4,FALSE)</f>
        <v>-2744.1921552885592</v>
      </c>
      <c r="AS25" s="77">
        <f t="shared" si="34"/>
        <v>-2744.1921552885592</v>
      </c>
      <c r="AT25" s="77">
        <f t="shared" si="34"/>
        <v>-2744.1921552885592</v>
      </c>
      <c r="AU25" s="77">
        <f t="shared" si="34"/>
        <v>-2744.1921552885592</v>
      </c>
      <c r="AV25" s="77">
        <f t="shared" si="34"/>
        <v>-2744.1921552885592</v>
      </c>
      <c r="AW25" s="77">
        <f t="shared" si="34"/>
        <v>-2744.1921552885592</v>
      </c>
      <c r="AX25" s="77">
        <f t="shared" si="34"/>
        <v>-2744.1921552885592</v>
      </c>
      <c r="AY25" s="77">
        <f t="shared" si="34"/>
        <v>-2744.1921552885592</v>
      </c>
      <c r="AZ25" s="77">
        <f t="shared" si="34"/>
        <v>-2744.1921552885592</v>
      </c>
      <c r="BA25" s="77">
        <f t="shared" si="34"/>
        <v>-2744.1921552885597</v>
      </c>
      <c r="BB25" s="77">
        <f t="shared" si="34"/>
        <v>-2744.1921552885592</v>
      </c>
      <c r="BC25" s="77">
        <f t="shared" si="34"/>
        <v>-2744.1921552885592</v>
      </c>
      <c r="BD25" s="77">
        <f t="shared" si="34"/>
        <v>-2744.1921552885592</v>
      </c>
      <c r="BE25" s="77">
        <f t="shared" si="34"/>
        <v>-2744.1921552885597</v>
      </c>
      <c r="BF25" s="77">
        <f t="shared" si="34"/>
        <v>-2744.1921552885597</v>
      </c>
      <c r="BG25" s="77">
        <f t="shared" si="34"/>
        <v>-2744.1921552885592</v>
      </c>
      <c r="BH25" s="77">
        <f t="shared" si="34"/>
        <v>-2744.1921552885592</v>
      </c>
      <c r="BI25" s="77">
        <f t="shared" si="34"/>
        <v>-2744.1921552885592</v>
      </c>
    </row>
    <row r="26" spans="1:61" ht="19.5" thickBot="1" x14ac:dyDescent="0.35">
      <c r="A26" s="1"/>
      <c r="B26" s="1"/>
      <c r="C26" s="1"/>
      <c r="D26" s="1"/>
      <c r="E26" s="1"/>
      <c r="F26" s="2"/>
      <c r="G26" s="12">
        <f t="shared" si="19"/>
        <v>16</v>
      </c>
      <c r="H26" s="73">
        <f t="shared" si="8"/>
        <v>532697.17398868082</v>
      </c>
      <c r="I26" s="9">
        <f t="shared" si="9"/>
        <v>16141.257069031022</v>
      </c>
      <c r="J26" s="10">
        <f t="shared" si="10"/>
        <v>548838.43105771183</v>
      </c>
      <c r="K26" s="12"/>
      <c r="L26" s="13">
        <f t="shared" si="11"/>
        <v>-548838.43105771183</v>
      </c>
      <c r="M26" s="13"/>
      <c r="N26" s="13">
        <f t="shared" si="2"/>
        <v>-2744.1921552885592</v>
      </c>
      <c r="O26" s="21">
        <f t="shared" si="26"/>
        <v>-551582.62321300036</v>
      </c>
      <c r="P26" s="12">
        <f t="shared" si="20"/>
        <v>16</v>
      </c>
      <c r="Q26" s="42">
        <f t="shared" si="22"/>
        <v>1774115.7057716227</v>
      </c>
      <c r="R26" s="42">
        <f t="shared" si="23"/>
        <v>28720.942277883369</v>
      </c>
      <c r="S26" s="42">
        <f t="shared" si="24"/>
        <v>-551582.62321300036</v>
      </c>
      <c r="T26" s="42">
        <f t="shared" si="25"/>
        <v>1251254.0248365058</v>
      </c>
      <c r="U26" s="49">
        <f>+U22+1</f>
        <v>4</v>
      </c>
      <c r="V26" s="48" t="s">
        <v>32</v>
      </c>
      <c r="W26" s="48">
        <f>+X28-W27</f>
        <v>425915.92383671337</v>
      </c>
      <c r="X26" s="48"/>
      <c r="Y26" s="53">
        <f>+Y22-W26</f>
        <v>7336617.1747946944</v>
      </c>
      <c r="Z26" s="36">
        <f t="shared" si="21"/>
        <v>16</v>
      </c>
      <c r="AA26" s="75">
        <f t="shared" si="12"/>
        <v>-28720.942277883369</v>
      </c>
      <c r="AB26" s="42">
        <f t="shared" si="13"/>
        <v>-16141.257069031022</v>
      </c>
      <c r="AC26" s="42">
        <f t="shared" si="14"/>
        <v>-2744.1921552885592</v>
      </c>
      <c r="AD26" s="44">
        <f t="shared" si="15"/>
        <v>0</v>
      </c>
      <c r="AE26" s="42">
        <f t="shared" si="27"/>
        <v>-18885.449224319582</v>
      </c>
      <c r="AF26" s="71">
        <f t="shared" si="28"/>
        <v>9835.4930535637868</v>
      </c>
      <c r="AG26" s="74">
        <f t="shared" si="16"/>
        <v>169825.4919220852</v>
      </c>
      <c r="AI26" s="81">
        <f>SUM(H27:$H$28)</f>
        <v>1081428.5329144211</v>
      </c>
      <c r="AJ26" s="13">
        <f t="shared" si="5"/>
        <v>1251254.0248365058</v>
      </c>
      <c r="AK26" s="58">
        <f t="shared" si="17"/>
        <v>169825.49192208471</v>
      </c>
      <c r="AL26" s="42">
        <f t="shared" si="6"/>
        <v>50947.647576625408</v>
      </c>
      <c r="AM26" s="110">
        <f>+AL26-AL25</f>
        <v>2950.6479160691597</v>
      </c>
      <c r="AO26" s="77" t="s">
        <v>83</v>
      </c>
      <c r="AP26" s="77"/>
      <c r="AQ26" s="77"/>
      <c r="AR26" s="77">
        <f t="shared" ref="AR26:BI26" si="35">VLOOKUP(AR$21,$Z$11:$AD$28,5,FALSE)</f>
        <v>0</v>
      </c>
      <c r="AS26" s="77">
        <f t="shared" si="35"/>
        <v>0</v>
      </c>
      <c r="AT26" s="77">
        <f t="shared" si="35"/>
        <v>0</v>
      </c>
      <c r="AU26" s="77">
        <f t="shared" si="35"/>
        <v>0</v>
      </c>
      <c r="AV26" s="77">
        <f t="shared" si="35"/>
        <v>0</v>
      </c>
      <c r="AW26" s="77">
        <f t="shared" si="35"/>
        <v>-180000</v>
      </c>
      <c r="AX26" s="77">
        <f t="shared" si="35"/>
        <v>0</v>
      </c>
      <c r="AY26" s="77">
        <f t="shared" si="35"/>
        <v>0</v>
      </c>
      <c r="AZ26" s="77">
        <f t="shared" si="35"/>
        <v>0</v>
      </c>
      <c r="BA26" s="77">
        <f t="shared" si="35"/>
        <v>0</v>
      </c>
      <c r="BB26" s="77">
        <f t="shared" si="35"/>
        <v>0</v>
      </c>
      <c r="BC26" s="77">
        <f t="shared" si="35"/>
        <v>-180000</v>
      </c>
      <c r="BD26" s="77">
        <f t="shared" si="35"/>
        <v>0</v>
      </c>
      <c r="BE26" s="77">
        <f t="shared" si="35"/>
        <v>0</v>
      </c>
      <c r="BF26" s="77">
        <f t="shared" si="35"/>
        <v>0</v>
      </c>
      <c r="BG26" s="77">
        <f t="shared" si="35"/>
        <v>0</v>
      </c>
      <c r="BH26" s="77">
        <f t="shared" si="35"/>
        <v>0</v>
      </c>
      <c r="BI26" s="77">
        <f t="shared" si="35"/>
        <v>-180000</v>
      </c>
    </row>
    <row r="27" spans="1:61" x14ac:dyDescent="0.3">
      <c r="A27" s="1"/>
      <c r="B27" s="1"/>
      <c r="C27" s="1"/>
      <c r="D27" s="1"/>
      <c r="E27" s="1"/>
      <c r="F27" s="2"/>
      <c r="G27" s="12">
        <f t="shared" si="19"/>
        <v>17</v>
      </c>
      <c r="H27" s="73">
        <f t="shared" si="8"/>
        <v>538024.14572856762</v>
      </c>
      <c r="I27" s="9">
        <f t="shared" si="9"/>
        <v>10814.285329144213</v>
      </c>
      <c r="J27" s="10">
        <f t="shared" si="10"/>
        <v>548838.43105771183</v>
      </c>
      <c r="K27" s="12"/>
      <c r="L27" s="13">
        <f t="shared" si="11"/>
        <v>-548838.43105771183</v>
      </c>
      <c r="M27" s="13"/>
      <c r="N27" s="13">
        <f t="shared" si="2"/>
        <v>-2744.1921552885592</v>
      </c>
      <c r="O27" s="21">
        <f t="shared" si="26"/>
        <v>-551582.62321300036</v>
      </c>
      <c r="P27" s="12">
        <f t="shared" si="20"/>
        <v>17</v>
      </c>
      <c r="Q27" s="42">
        <f t="shared" si="22"/>
        <v>1251254.0248365058</v>
      </c>
      <c r="R27" s="42">
        <f t="shared" si="23"/>
        <v>20256.398444242524</v>
      </c>
      <c r="S27" s="42">
        <f t="shared" si="24"/>
        <v>-551582.62321300036</v>
      </c>
      <c r="T27" s="42">
        <f t="shared" si="25"/>
        <v>719927.80006774794</v>
      </c>
      <c r="U27" s="12"/>
      <c r="V27" s="48" t="s">
        <v>34</v>
      </c>
      <c r="W27" s="48">
        <f>VLOOKUP(U26,$P$10:$T$28,3,FALSE)</f>
        <v>125666.69937628701</v>
      </c>
      <c r="X27" s="48"/>
      <c r="Y27" s="44"/>
      <c r="Z27" s="36">
        <f t="shared" si="21"/>
        <v>17</v>
      </c>
      <c r="AA27" s="75">
        <f t="shared" si="12"/>
        <v>-20256.398444242524</v>
      </c>
      <c r="AB27" s="42">
        <f t="shared" si="13"/>
        <v>-10814.285329144213</v>
      </c>
      <c r="AC27" s="42">
        <f t="shared" si="14"/>
        <v>-2744.1921552885592</v>
      </c>
      <c r="AD27" s="44">
        <f t="shared" si="15"/>
        <v>0</v>
      </c>
      <c r="AE27" s="42">
        <f t="shared" si="27"/>
        <v>-13558.477484432773</v>
      </c>
      <c r="AF27" s="71">
        <f t="shared" si="28"/>
        <v>6697.9209598097514</v>
      </c>
      <c r="AG27" s="74">
        <f t="shared" si="16"/>
        <v>176523.41288189497</v>
      </c>
      <c r="AI27" s="81">
        <f>SUM(H28:$H$28)</f>
        <v>543404.38718585332</v>
      </c>
      <c r="AJ27" s="13">
        <f t="shared" si="5"/>
        <v>719927.80006774794</v>
      </c>
      <c r="AK27" s="58">
        <f t="shared" si="17"/>
        <v>176523.41288189462</v>
      </c>
      <c r="AL27" s="42">
        <f t="shared" si="6"/>
        <v>52957.023864568386</v>
      </c>
      <c r="AM27" s="110">
        <f>+AL27-AL26</f>
        <v>2009.3762879429778</v>
      </c>
      <c r="AO27" s="98" t="s">
        <v>85</v>
      </c>
      <c r="AP27" s="98"/>
      <c r="AQ27" s="98"/>
      <c r="AR27" s="98">
        <f>SUM(AR22:AR26)</f>
        <v>552955.70760887314</v>
      </c>
      <c r="AS27" s="98">
        <f t="shared" ref="AS27:BI27" si="36">SUM(AS22:AS26)</f>
        <v>550973.30612806114</v>
      </c>
      <c r="AT27" s="98">
        <f t="shared" si="36"/>
        <v>548930.41484244657</v>
      </c>
      <c r="AU27" s="98">
        <f t="shared" si="36"/>
        <v>546825.77052047825</v>
      </c>
      <c r="AV27" s="98">
        <f t="shared" si="36"/>
        <v>544658.08664060908</v>
      </c>
      <c r="AW27" s="98">
        <f t="shared" si="36"/>
        <v>362426.05298586027</v>
      </c>
      <c r="AX27" s="98">
        <f t="shared" si="36"/>
        <v>537214.33723625401</v>
      </c>
      <c r="AY27" s="98">
        <f t="shared" si="36"/>
        <v>534802.40217338887</v>
      </c>
      <c r="AZ27" s="98">
        <f t="shared" si="36"/>
        <v>532321.27665445628</v>
      </c>
      <c r="BA27" s="98">
        <f t="shared" si="36"/>
        <v>529769.53912427975</v>
      </c>
      <c r="BB27" s="98">
        <f t="shared" si="36"/>
        <v>527145.74199990579</v>
      </c>
      <c r="BC27" s="98">
        <f t="shared" si="36"/>
        <v>344448.41121910082</v>
      </c>
      <c r="BD27" s="98">
        <f t="shared" si="36"/>
        <v>518762.04778595135</v>
      </c>
      <c r="BE27" s="98">
        <f t="shared" si="36"/>
        <v>515865.9449278317</v>
      </c>
      <c r="BF27" s="98">
        <f t="shared" si="36"/>
        <v>512890.95902102505</v>
      </c>
      <c r="BG27" s="98">
        <f t="shared" si="36"/>
        <v>509835.49305356387</v>
      </c>
      <c r="BH27" s="98">
        <f t="shared" si="36"/>
        <v>506697.9209598098</v>
      </c>
      <c r="BI27" s="98">
        <f t="shared" si="36"/>
        <v>323476.58711810899</v>
      </c>
    </row>
    <row r="28" spans="1:61" ht="19.5" thickBot="1" x14ac:dyDescent="0.35">
      <c r="A28" s="1"/>
      <c r="B28" s="1"/>
      <c r="C28" s="1"/>
      <c r="D28" s="1"/>
      <c r="E28" s="1"/>
      <c r="F28" s="2"/>
      <c r="G28" s="12">
        <f t="shared" si="19"/>
        <v>18</v>
      </c>
      <c r="H28" s="73">
        <f t="shared" si="8"/>
        <v>543404.38718585332</v>
      </c>
      <c r="I28" s="9">
        <f t="shared" si="9"/>
        <v>5434.0438718585347</v>
      </c>
      <c r="J28" s="10">
        <f t="shared" si="10"/>
        <v>548838.43105771183</v>
      </c>
      <c r="K28" s="12"/>
      <c r="L28" s="13">
        <f t="shared" si="11"/>
        <v>-548838.43105771183</v>
      </c>
      <c r="M28" s="13">
        <f>+M22</f>
        <v>-180000</v>
      </c>
      <c r="N28" s="13">
        <f t="shared" si="2"/>
        <v>-2744.1921552885592</v>
      </c>
      <c r="O28" s="22">
        <f t="shared" si="26"/>
        <v>-731582.62321300036</v>
      </c>
      <c r="P28" s="12">
        <f t="shared" si="20"/>
        <v>18</v>
      </c>
      <c r="Q28" s="42">
        <f t="shared" si="22"/>
        <v>719927.80006774794</v>
      </c>
      <c r="R28" s="42">
        <f t="shared" si="23"/>
        <v>11654.82314525603</v>
      </c>
      <c r="S28" s="42">
        <f t="shared" si="24"/>
        <v>-731582.62321300036</v>
      </c>
      <c r="T28" s="59">
        <f t="shared" si="25"/>
        <v>3.6088749766349792E-9</v>
      </c>
      <c r="U28" s="12"/>
      <c r="V28" s="48" t="s">
        <v>31</v>
      </c>
      <c r="W28" s="48"/>
      <c r="X28" s="48">
        <f>-VLOOKUP(U26,$P$10:$T$28,4,FALSE)</f>
        <v>551582.62321300036</v>
      </c>
      <c r="Y28" s="44"/>
      <c r="Z28" s="36">
        <f t="shared" si="21"/>
        <v>18</v>
      </c>
      <c r="AA28" s="75">
        <f t="shared" si="12"/>
        <v>-11654.82314525603</v>
      </c>
      <c r="AB28" s="42">
        <f t="shared" si="13"/>
        <v>-5434.0438718585347</v>
      </c>
      <c r="AC28" s="42">
        <f t="shared" si="14"/>
        <v>-2744.1921552885592</v>
      </c>
      <c r="AD28" s="44">
        <f t="shared" si="15"/>
        <v>-180000</v>
      </c>
      <c r="AE28" s="42">
        <f t="shared" si="27"/>
        <v>-188178.2360271471</v>
      </c>
      <c r="AF28" s="71">
        <f t="shared" si="28"/>
        <v>-176523.41288189107</v>
      </c>
      <c r="AG28" s="74">
        <f t="shared" si="16"/>
        <v>3.8999132812023163E-9</v>
      </c>
      <c r="AI28" s="83">
        <v>0</v>
      </c>
      <c r="AJ28" s="84">
        <f t="shared" si="5"/>
        <v>3.6088749766349792E-9</v>
      </c>
      <c r="AK28" s="93">
        <f t="shared" si="17"/>
        <v>3.6088749766349792E-9</v>
      </c>
      <c r="AL28" s="94">
        <f t="shared" si="6"/>
        <v>1.0826624929904937E-9</v>
      </c>
      <c r="AM28" s="111">
        <f t="shared" si="30"/>
        <v>-52957.023864567302</v>
      </c>
      <c r="AO28" s="4" t="s">
        <v>86</v>
      </c>
      <c r="AR28" s="4">
        <f>-AR27*$AO$29</f>
        <v>-165886.71228266193</v>
      </c>
      <c r="AS28" s="4">
        <f t="shared" ref="AS28:BI28" si="37">-AS27*$AO$29</f>
        <v>-165291.99183841833</v>
      </c>
      <c r="AT28" s="4">
        <f t="shared" si="37"/>
        <v>-164679.12445273396</v>
      </c>
      <c r="AU28" s="4">
        <f t="shared" si="37"/>
        <v>-164047.73115614348</v>
      </c>
      <c r="AV28" s="4">
        <f t="shared" si="37"/>
        <v>-163397.42599218272</v>
      </c>
      <c r="AW28" s="4">
        <f t="shared" si="37"/>
        <v>-108727.81589575807</v>
      </c>
      <c r="AX28" s="4">
        <f t="shared" si="37"/>
        <v>-161164.30117087619</v>
      </c>
      <c r="AY28" s="4">
        <f t="shared" si="37"/>
        <v>-160440.72065201667</v>
      </c>
      <c r="AZ28" s="4">
        <f t="shared" si="37"/>
        <v>-159696.38299633688</v>
      </c>
      <c r="BA28" s="4">
        <f t="shared" si="37"/>
        <v>-158930.86173728391</v>
      </c>
      <c r="BB28" s="4">
        <f t="shared" si="37"/>
        <v>-158143.72259997172</v>
      </c>
      <c r="BC28" s="4">
        <f t="shared" si="37"/>
        <v>-103334.52336573025</v>
      </c>
      <c r="BD28" s="4">
        <f t="shared" si="37"/>
        <v>-155628.61433578539</v>
      </c>
      <c r="BE28" s="4">
        <f t="shared" si="37"/>
        <v>-154759.78347834951</v>
      </c>
      <c r="BF28" s="4">
        <f t="shared" si="37"/>
        <v>-153867.28770630751</v>
      </c>
      <c r="BG28" s="4">
        <f t="shared" si="37"/>
        <v>-152950.64791606917</v>
      </c>
      <c r="BH28" s="4">
        <f t="shared" si="37"/>
        <v>-152009.37628794293</v>
      </c>
      <c r="BI28" s="4">
        <f t="shared" si="37"/>
        <v>-97042.976135432691</v>
      </c>
    </row>
    <row r="29" spans="1:61" ht="19.5" thickBot="1" x14ac:dyDescent="0.35">
      <c r="A29" s="1"/>
      <c r="B29" s="1"/>
      <c r="C29" s="1"/>
      <c r="D29" s="1"/>
      <c r="E29" s="1"/>
      <c r="F29" s="2"/>
      <c r="G29" s="15"/>
      <c r="H29" s="16"/>
      <c r="I29" s="16"/>
      <c r="J29" s="17"/>
      <c r="K29" s="15"/>
      <c r="L29" s="16"/>
      <c r="M29" s="16"/>
      <c r="N29" s="16"/>
      <c r="O29" s="17"/>
      <c r="P29" s="15"/>
      <c r="Q29" s="16"/>
      <c r="R29" s="66">
        <f>SUM(R11:R28)</f>
        <v>1468487.2178340126</v>
      </c>
      <c r="S29" s="16"/>
      <c r="T29" s="16"/>
      <c r="U29" s="12"/>
      <c r="V29" s="42"/>
      <c r="W29" s="42"/>
      <c r="X29" s="42"/>
      <c r="Y29" s="44"/>
      <c r="Z29" s="61"/>
      <c r="AA29" s="62">
        <f>SUM(AA11:AA28)</f>
        <v>-1468487.2178340126</v>
      </c>
      <c r="AB29" s="62"/>
      <c r="AC29" s="62"/>
      <c r="AD29" s="63"/>
      <c r="AE29" s="62">
        <f>SUM(AE11:AE28)</f>
        <v>-1468487.2178340086</v>
      </c>
      <c r="AF29" s="72">
        <f>SUM(AF11:AF28)</f>
        <v>3.8999132812023163E-9</v>
      </c>
      <c r="AG29" s="72"/>
      <c r="AO29" s="4">
        <v>0.3</v>
      </c>
    </row>
    <row r="30" spans="1:61" ht="19.5" thickBot="1" x14ac:dyDescent="0.35">
      <c r="A30" s="1"/>
      <c r="B30" s="1"/>
      <c r="C30" s="1"/>
      <c r="D30" s="1"/>
      <c r="E30" s="1"/>
      <c r="F30" s="2"/>
      <c r="U30" s="49">
        <f>+U26+1</f>
        <v>5</v>
      </c>
      <c r="V30" s="48" t="s">
        <v>32</v>
      </c>
      <c r="W30" s="48">
        <f>+X32-W31</f>
        <v>432811.02466015442</v>
      </c>
      <c r="X30" s="48"/>
      <c r="Y30" s="53">
        <f>+Y26-W30</f>
        <v>6903806.1501345402</v>
      </c>
      <c r="AD30" s="3"/>
      <c r="AE30" s="3"/>
      <c r="AF30" s="3"/>
      <c r="AG30" s="3"/>
    </row>
    <row r="31" spans="1:61" x14ac:dyDescent="0.3">
      <c r="A31" s="1"/>
      <c r="B31" s="1"/>
      <c r="C31" s="1"/>
      <c r="D31" s="1"/>
      <c r="E31" s="1"/>
      <c r="F31" s="2"/>
      <c r="U31" s="12"/>
      <c r="V31" s="48" t="s">
        <v>34</v>
      </c>
      <c r="W31" s="48">
        <f>VLOOKUP(U30,$P$10:$T$28,3,FALSE)</f>
        <v>118771.59855284596</v>
      </c>
      <c r="X31" s="48"/>
      <c r="Y31" s="44"/>
    </row>
    <row r="32" spans="1:61" x14ac:dyDescent="0.3">
      <c r="A32" s="1"/>
      <c r="B32" s="1"/>
      <c r="C32" s="1"/>
      <c r="D32" s="1"/>
      <c r="E32" s="1"/>
      <c r="F32" s="2"/>
      <c r="U32" s="12"/>
      <c r="V32" s="48" t="s">
        <v>31</v>
      </c>
      <c r="W32" s="48"/>
      <c r="X32" s="48">
        <f>-VLOOKUP(U30,$P$10:$T$28,4,FALSE)</f>
        <v>551582.62321300036</v>
      </c>
      <c r="Y32" s="44"/>
    </row>
    <row r="33" spans="1:25" ht="19.5" thickBot="1" x14ac:dyDescent="0.35">
      <c r="A33" s="1"/>
      <c r="B33" s="1"/>
      <c r="C33" s="1"/>
      <c r="D33" s="1"/>
      <c r="E33" s="1"/>
      <c r="F33" s="2"/>
      <c r="U33" s="12"/>
      <c r="V33" s="42"/>
      <c r="W33" s="42"/>
      <c r="X33" s="42"/>
      <c r="Y33" s="44"/>
    </row>
    <row r="34" spans="1:25" ht="19.5" thickBot="1" x14ac:dyDescent="0.35">
      <c r="A34" s="1"/>
      <c r="B34" s="1"/>
      <c r="C34" s="1"/>
      <c r="D34" s="1"/>
      <c r="E34" s="1"/>
      <c r="F34" s="2"/>
      <c r="U34" s="49">
        <f>+U30+1</f>
        <v>6</v>
      </c>
      <c r="V34" s="48" t="s">
        <v>32</v>
      </c>
      <c r="W34" s="48">
        <f>+X36-W35</f>
        <v>619817.74942791089</v>
      </c>
      <c r="X34" s="48"/>
      <c r="Y34" s="53">
        <f>+Y30-W34</f>
        <v>6283988.4007066293</v>
      </c>
    </row>
    <row r="35" spans="1:25" x14ac:dyDescent="0.3">
      <c r="A35" s="1"/>
      <c r="B35" s="1"/>
      <c r="C35" s="1"/>
      <c r="D35" s="1"/>
      <c r="E35" s="1"/>
      <c r="F35" s="2"/>
      <c r="U35" s="12"/>
      <c r="V35" s="48" t="s">
        <v>34</v>
      </c>
      <c r="W35" s="48">
        <f>VLOOKUP(U34,$P$10:$T$28,3,FALSE)</f>
        <v>111764.87378508945</v>
      </c>
      <c r="X35" s="48"/>
      <c r="Y35" s="44"/>
    </row>
    <row r="36" spans="1:25" x14ac:dyDescent="0.3">
      <c r="A36" s="1"/>
      <c r="B36" s="1"/>
      <c r="C36" s="1"/>
      <c r="D36" s="1"/>
      <c r="E36" s="1"/>
      <c r="F36" s="2"/>
      <c r="U36" s="12"/>
      <c r="V36" s="48" t="s">
        <v>31</v>
      </c>
      <c r="W36" s="48"/>
      <c r="X36" s="48">
        <f>-VLOOKUP(U34,$P$10:$T$28,4,FALSE)</f>
        <v>731582.62321300036</v>
      </c>
      <c r="Y36" s="44"/>
    </row>
    <row r="37" spans="1:25" ht="19.5" thickBot="1" x14ac:dyDescent="0.35">
      <c r="A37" s="1"/>
      <c r="B37" s="1"/>
      <c r="C37" s="1"/>
      <c r="D37" s="1"/>
      <c r="E37" s="1"/>
      <c r="F37" s="2"/>
      <c r="U37" s="12"/>
      <c r="V37" s="42"/>
      <c r="W37" s="42"/>
      <c r="X37" s="42"/>
      <c r="Y37" s="44"/>
    </row>
    <row r="38" spans="1:25" ht="19.5" thickBot="1" x14ac:dyDescent="0.35">
      <c r="A38" s="1"/>
      <c r="B38" s="1"/>
      <c r="C38" s="1"/>
      <c r="D38" s="1"/>
      <c r="E38" s="1"/>
      <c r="F38" s="2"/>
      <c r="U38" s="49">
        <f>+U34+1</f>
        <v>7</v>
      </c>
      <c r="V38" s="48" t="s">
        <v>32</v>
      </c>
      <c r="W38" s="48">
        <f>+X40-W39</f>
        <v>449851.90320165479</v>
      </c>
      <c r="X38" s="48"/>
      <c r="Y38" s="53">
        <f>+Y34-W38</f>
        <v>5834136.4975049747</v>
      </c>
    </row>
    <row r="39" spans="1:25" x14ac:dyDescent="0.3">
      <c r="A39" s="1"/>
      <c r="B39" s="1"/>
      <c r="C39" s="1"/>
      <c r="D39" s="1"/>
      <c r="E39" s="1"/>
      <c r="F39" s="2"/>
      <c r="U39" s="12"/>
      <c r="V39" s="48" t="s">
        <v>34</v>
      </c>
      <c r="W39" s="48">
        <f>VLOOKUP(U38,$P$10:$T$28,3,FALSE)</f>
        <v>101730.72001134558</v>
      </c>
      <c r="X39" s="48"/>
      <c r="Y39" s="44"/>
    </row>
    <row r="40" spans="1:25" x14ac:dyDescent="0.3">
      <c r="U40" s="12"/>
      <c r="V40" s="48" t="s">
        <v>31</v>
      </c>
      <c r="W40" s="48"/>
      <c r="X40" s="48">
        <f>-VLOOKUP(U38,$P$10:$T$28,4,FALSE)</f>
        <v>551582.62321300036</v>
      </c>
      <c r="Y40" s="44"/>
    </row>
    <row r="41" spans="1:25" ht="19.5" thickBot="1" x14ac:dyDescent="0.35">
      <c r="U41" s="12"/>
      <c r="V41" s="42"/>
      <c r="W41" s="42"/>
      <c r="X41" s="42"/>
      <c r="Y41" s="44"/>
    </row>
    <row r="42" spans="1:25" ht="19.5" thickBot="1" x14ac:dyDescent="0.35">
      <c r="U42" s="49">
        <f>+U38+1</f>
        <v>8</v>
      </c>
      <c r="V42" s="48" t="s">
        <v>32</v>
      </c>
      <c r="W42" s="48">
        <f>+X44-W43</f>
        <v>457134.50066889904</v>
      </c>
      <c r="X42" s="48"/>
      <c r="Y42" s="53">
        <f>+Y38-W42</f>
        <v>5377001.9968360756</v>
      </c>
    </row>
    <row r="43" spans="1:25" x14ac:dyDescent="0.3">
      <c r="U43" s="12"/>
      <c r="V43" s="48" t="s">
        <v>34</v>
      </c>
      <c r="W43" s="48">
        <f>VLOOKUP(U42,$P$10:$T$28,3,FALSE)</f>
        <v>94448.122544101308</v>
      </c>
      <c r="X43" s="48"/>
      <c r="Y43" s="44"/>
    </row>
    <row r="44" spans="1:25" x14ac:dyDescent="0.3">
      <c r="U44" s="12"/>
      <c r="V44" s="48" t="s">
        <v>31</v>
      </c>
      <c r="W44" s="48"/>
      <c r="X44" s="48">
        <f>-VLOOKUP(U42,$P$10:$T$28,4,FALSE)</f>
        <v>551582.62321300036</v>
      </c>
      <c r="Y44" s="44"/>
    </row>
    <row r="45" spans="1:25" ht="19.5" thickBot="1" x14ac:dyDescent="0.35">
      <c r="U45" s="12"/>
      <c r="V45" s="42"/>
      <c r="W45" s="42"/>
      <c r="X45" s="42"/>
      <c r="Y45" s="44"/>
    </row>
    <row r="46" spans="1:25" ht="19.5" thickBot="1" x14ac:dyDescent="0.35">
      <c r="U46" s="49">
        <f>+U42+1</f>
        <v>9</v>
      </c>
      <c r="V46" s="48" t="s">
        <v>32</v>
      </c>
      <c r="W46" s="48">
        <f>+X48-W47</f>
        <v>464534.99521625449</v>
      </c>
      <c r="X46" s="48"/>
      <c r="Y46" s="53">
        <f>+Y42-W46</f>
        <v>4912467.0016198214</v>
      </c>
    </row>
    <row r="47" spans="1:25" x14ac:dyDescent="0.3">
      <c r="U47" s="12"/>
      <c r="V47" s="48" t="s">
        <v>34</v>
      </c>
      <c r="W47" s="48">
        <f>VLOOKUP(U46,$P$10:$T$28,3,FALSE)</f>
        <v>87047.627996745898</v>
      </c>
      <c r="X47" s="48"/>
      <c r="Y47" s="44"/>
    </row>
    <row r="48" spans="1:25" x14ac:dyDescent="0.3">
      <c r="U48" s="12"/>
      <c r="V48" s="48" t="s">
        <v>31</v>
      </c>
      <c r="W48" s="48"/>
      <c r="X48" s="48">
        <f>-VLOOKUP(U46,$P$10:$T$28,4,FALSE)</f>
        <v>551582.62321300036</v>
      </c>
      <c r="Y48" s="44"/>
    </row>
    <row r="49" spans="21:25" ht="19.5" thickBot="1" x14ac:dyDescent="0.35">
      <c r="U49" s="12"/>
      <c r="V49" s="42"/>
      <c r="W49" s="42"/>
      <c r="X49" s="42"/>
      <c r="Y49" s="44"/>
    </row>
    <row r="50" spans="21:25" ht="19.5" thickBot="1" x14ac:dyDescent="0.35">
      <c r="U50" s="49">
        <f>+U46+1</f>
        <v>10</v>
      </c>
      <c r="V50" s="48" t="s">
        <v>32</v>
      </c>
      <c r="W50" s="48">
        <f>+X52-W51</f>
        <v>472055.29546513833</v>
      </c>
      <c r="X50" s="48"/>
      <c r="Y50" s="54">
        <f>+Y46-W50</f>
        <v>4440411.7061546827</v>
      </c>
    </row>
    <row r="51" spans="21:25" x14ac:dyDescent="0.3">
      <c r="U51" s="12"/>
      <c r="V51" s="48" t="s">
        <v>34</v>
      </c>
      <c r="W51" s="48">
        <f>VLOOKUP(U50,$P$10:$T$28,3,FALSE)</f>
        <v>79527.32774786216</v>
      </c>
      <c r="X51" s="48"/>
      <c r="Y51" s="44"/>
    </row>
    <row r="52" spans="21:25" x14ac:dyDescent="0.3">
      <c r="U52" s="12"/>
      <c r="V52" s="48" t="s">
        <v>31</v>
      </c>
      <c r="W52" s="48"/>
      <c r="X52" s="48">
        <f>-VLOOKUP(U50,$P$10:$T$28,4,FALSE)</f>
        <v>551582.62321300048</v>
      </c>
      <c r="Y52" s="44"/>
    </row>
    <row r="53" spans="21:25" ht="19.5" thickBot="1" x14ac:dyDescent="0.35">
      <c r="U53" s="12"/>
      <c r="V53" s="42"/>
      <c r="W53" s="42"/>
      <c r="X53" s="42"/>
      <c r="Y53" s="44"/>
    </row>
    <row r="54" spans="21:25" ht="19.5" thickBot="1" x14ac:dyDescent="0.35">
      <c r="U54" s="49">
        <f>+U50+1</f>
        <v>11</v>
      </c>
      <c r="V54" s="48" t="s">
        <v>32</v>
      </c>
      <c r="W54" s="48">
        <f>+X56-W55</f>
        <v>479697.34093540628</v>
      </c>
      <c r="X54" s="48"/>
      <c r="Y54" s="54">
        <f>+Y50-W54</f>
        <v>3960714.3652192764</v>
      </c>
    </row>
    <row r="55" spans="21:25" x14ac:dyDescent="0.3">
      <c r="U55" s="12"/>
      <c r="V55" s="48" t="s">
        <v>34</v>
      </c>
      <c r="W55" s="48">
        <f>VLOOKUP(U54,$P$10:$T$28,3,FALSE)</f>
        <v>71885.282277594102</v>
      </c>
      <c r="X55" s="48"/>
      <c r="Y55" s="44"/>
    </row>
    <row r="56" spans="21:25" x14ac:dyDescent="0.3">
      <c r="U56" s="12"/>
      <c r="V56" s="48" t="s">
        <v>31</v>
      </c>
      <c r="W56" s="48"/>
      <c r="X56" s="48">
        <f>-VLOOKUP(U54,$P$10:$T$28,4,FALSE)</f>
        <v>551582.62321300036</v>
      </c>
      <c r="Y56" s="44"/>
    </row>
    <row r="57" spans="21:25" ht="19.5" thickBot="1" x14ac:dyDescent="0.35">
      <c r="U57" s="12"/>
      <c r="V57" s="42"/>
      <c r="W57" s="42"/>
      <c r="X57" s="42"/>
      <c r="Y57" s="44"/>
    </row>
    <row r="58" spans="21:25" ht="19.5" thickBot="1" x14ac:dyDescent="0.35">
      <c r="U58" s="49">
        <f>+U54+1</f>
        <v>12</v>
      </c>
      <c r="V58" s="48" t="s">
        <v>32</v>
      </c>
      <c r="W58" s="48">
        <f>+X60-W59</f>
        <v>667463.10254556441</v>
      </c>
      <c r="X58" s="48"/>
      <c r="Y58" s="54">
        <f>+Y54-W58</f>
        <v>3293251.2626737119</v>
      </c>
    </row>
    <row r="59" spans="21:25" x14ac:dyDescent="0.3">
      <c r="U59" s="12"/>
      <c r="V59" s="48" t="s">
        <v>34</v>
      </c>
      <c r="W59" s="48">
        <f>VLOOKUP(U58,$P$10:$T$28,3,FALSE)</f>
        <v>64119.520667435936</v>
      </c>
      <c r="X59" s="48"/>
      <c r="Y59" s="44"/>
    </row>
    <row r="60" spans="21:25" x14ac:dyDescent="0.3">
      <c r="U60" s="12"/>
      <c r="V60" s="48" t="s">
        <v>31</v>
      </c>
      <c r="W60" s="48"/>
      <c r="X60" s="48">
        <f>-VLOOKUP(U58,$P$10:$T$28,4,FALSE)</f>
        <v>731582.62321300036</v>
      </c>
      <c r="Y60" s="44"/>
    </row>
    <row r="61" spans="21:25" ht="19.5" thickBot="1" x14ac:dyDescent="0.35">
      <c r="U61" s="12"/>
      <c r="V61" s="42"/>
      <c r="W61" s="42"/>
      <c r="X61" s="42"/>
      <c r="Y61" s="44"/>
    </row>
    <row r="62" spans="21:25" ht="19.5" thickBot="1" x14ac:dyDescent="0.35">
      <c r="U62" s="49">
        <f>+U58+1</f>
        <v>13</v>
      </c>
      <c r="V62" s="48" t="s">
        <v>32</v>
      </c>
      <c r="W62" s="48">
        <f>+X64-W63</f>
        <v>498268.58111636055</v>
      </c>
      <c r="X62" s="48"/>
      <c r="Y62" s="54">
        <f>+Y58-W62</f>
        <v>2794982.6815573513</v>
      </c>
    </row>
    <row r="63" spans="21:25" x14ac:dyDescent="0.3">
      <c r="U63" s="12"/>
      <c r="V63" s="48" t="s">
        <v>34</v>
      </c>
      <c r="W63" s="48">
        <f>VLOOKUP(U62,$P$10:$T$28,3,FALSE)</f>
        <v>53314.042096639823</v>
      </c>
      <c r="X63" s="48"/>
      <c r="Y63" s="44"/>
    </row>
    <row r="64" spans="21:25" x14ac:dyDescent="0.3">
      <c r="U64" s="12"/>
      <c r="V64" s="48" t="s">
        <v>31</v>
      </c>
      <c r="W64" s="48"/>
      <c r="X64" s="48">
        <f>-VLOOKUP(U62,$P$10:$T$28,4,FALSE)</f>
        <v>551582.62321300036</v>
      </c>
      <c r="Y64" s="44"/>
    </row>
    <row r="65" spans="21:25" ht="19.5" thickBot="1" x14ac:dyDescent="0.35">
      <c r="U65" s="12"/>
      <c r="V65" s="42"/>
      <c r="W65" s="42"/>
      <c r="X65" s="42"/>
      <c r="Y65" s="44"/>
    </row>
    <row r="66" spans="21:25" ht="19.5" thickBot="1" x14ac:dyDescent="0.35">
      <c r="U66" s="49">
        <f>+U62+1</f>
        <v>14</v>
      </c>
      <c r="V66" s="48" t="s">
        <v>32</v>
      </c>
      <c r="W66" s="48">
        <f>+X68-W67</f>
        <v>506334.99026350339</v>
      </c>
      <c r="X66" s="48"/>
      <c r="Y66" s="54">
        <f>+Y62-W66</f>
        <v>2288647.6912938477</v>
      </c>
    </row>
    <row r="67" spans="21:25" x14ac:dyDescent="0.3">
      <c r="U67" s="12"/>
      <c r="V67" s="48" t="s">
        <v>34</v>
      </c>
      <c r="W67" s="48">
        <f>VLOOKUP(U66,$P$10:$T$28,3,FALSE)</f>
        <v>45247.632949497063</v>
      </c>
      <c r="X67" s="48"/>
      <c r="Y67" s="44"/>
    </row>
    <row r="68" spans="21:25" x14ac:dyDescent="0.3">
      <c r="U68" s="12"/>
      <c r="V68" s="48" t="s">
        <v>31</v>
      </c>
      <c r="W68" s="48"/>
      <c r="X68" s="48">
        <f>-VLOOKUP(U66,$P$10:$T$28,4,FALSE)</f>
        <v>551582.62321300048</v>
      </c>
      <c r="Y68" s="44"/>
    </row>
    <row r="69" spans="21:25" ht="19.5" thickBot="1" x14ac:dyDescent="0.35">
      <c r="U69" s="12"/>
      <c r="V69" s="13"/>
      <c r="W69" s="13"/>
      <c r="X69" s="13"/>
      <c r="Y69" s="14"/>
    </row>
    <row r="70" spans="21:25" ht="19.5" thickBot="1" x14ac:dyDescent="0.35">
      <c r="U70" s="49">
        <f>+U66+1</f>
        <v>15</v>
      </c>
      <c r="V70" s="48" t="s">
        <v>32</v>
      </c>
      <c r="W70" s="48">
        <f>+X72-W71</f>
        <v>514531.98552222346</v>
      </c>
      <c r="X70" s="48"/>
      <c r="Y70" s="54">
        <f>+Y66-W70</f>
        <v>1774115.7057716243</v>
      </c>
    </row>
    <row r="71" spans="21:25" x14ac:dyDescent="0.3">
      <c r="U71" s="12"/>
      <c r="V71" s="48" t="s">
        <v>34</v>
      </c>
      <c r="W71" s="48">
        <f>VLOOKUP(U70,$P$10:$T$28,3,FALSE)</f>
        <v>37050.637690777039</v>
      </c>
      <c r="X71" s="48"/>
      <c r="Y71" s="44"/>
    </row>
    <row r="72" spans="21:25" x14ac:dyDescent="0.3">
      <c r="U72" s="12"/>
      <c r="V72" s="48" t="s">
        <v>31</v>
      </c>
      <c r="W72" s="48"/>
      <c r="X72" s="48">
        <f>-VLOOKUP(U70,$P$10:$T$28,4,FALSE)</f>
        <v>551582.62321300048</v>
      </c>
      <c r="Y72" s="44"/>
    </row>
    <row r="73" spans="21:25" ht="19.5" thickBot="1" x14ac:dyDescent="0.35">
      <c r="U73" s="12"/>
      <c r="V73" s="13"/>
      <c r="W73" s="13"/>
      <c r="X73" s="13"/>
      <c r="Y73" s="14"/>
    </row>
    <row r="74" spans="21:25" ht="19.5" thickBot="1" x14ac:dyDescent="0.35">
      <c r="U74" s="49">
        <f>+U70+1</f>
        <v>16</v>
      </c>
      <c r="V74" s="48" t="s">
        <v>32</v>
      </c>
      <c r="W74" s="48">
        <f>+X76-W75</f>
        <v>522861.68093511701</v>
      </c>
      <c r="X74" s="48"/>
      <c r="Y74" s="54">
        <f>+Y70-W74</f>
        <v>1251254.0248365074</v>
      </c>
    </row>
    <row r="75" spans="21:25" x14ac:dyDescent="0.3">
      <c r="U75" s="12"/>
      <c r="V75" s="48" t="s">
        <v>34</v>
      </c>
      <c r="W75" s="48">
        <f>VLOOKUP(U74,$P$10:$T$28,3,FALSE)</f>
        <v>28720.942277883369</v>
      </c>
      <c r="X75" s="48"/>
      <c r="Y75" s="44"/>
    </row>
    <row r="76" spans="21:25" x14ac:dyDescent="0.3">
      <c r="U76" s="12"/>
      <c r="V76" s="48" t="s">
        <v>31</v>
      </c>
      <c r="W76" s="48"/>
      <c r="X76" s="48">
        <f>-VLOOKUP(U74,$P$10:$T$28,4,FALSE)</f>
        <v>551582.62321300036</v>
      </c>
      <c r="Y76" s="44"/>
    </row>
    <row r="77" spans="21:25" ht="19.5" thickBot="1" x14ac:dyDescent="0.35">
      <c r="U77" s="12"/>
      <c r="V77" s="13"/>
      <c r="W77" s="13"/>
      <c r="X77" s="13"/>
      <c r="Y77" s="14"/>
    </row>
    <row r="78" spans="21:25" ht="19.5" thickBot="1" x14ac:dyDescent="0.35">
      <c r="U78" s="49">
        <f>+U74+1</f>
        <v>17</v>
      </c>
      <c r="V78" s="48" t="s">
        <v>32</v>
      </c>
      <c r="W78" s="48">
        <f>+X80-W79</f>
        <v>531326.22476875782</v>
      </c>
      <c r="X78" s="48"/>
      <c r="Y78" s="54">
        <f>+Y74-W78</f>
        <v>719927.80006774957</v>
      </c>
    </row>
    <row r="79" spans="21:25" x14ac:dyDescent="0.3">
      <c r="U79" s="12"/>
      <c r="V79" s="48" t="s">
        <v>34</v>
      </c>
      <c r="W79" s="48">
        <f>VLOOKUP(U78,$P$10:$T$28,3,FALSE)</f>
        <v>20256.398444242524</v>
      </c>
      <c r="X79" s="48"/>
      <c r="Y79" s="44"/>
    </row>
    <row r="80" spans="21:25" x14ac:dyDescent="0.3">
      <c r="U80" s="12"/>
      <c r="V80" s="48" t="s">
        <v>31</v>
      </c>
      <c r="W80" s="48"/>
      <c r="X80" s="48">
        <f>-VLOOKUP(U78,$P$10:$T$28,4,FALSE)</f>
        <v>551582.62321300036</v>
      </c>
      <c r="Y80" s="44"/>
    </row>
    <row r="81" spans="21:25" ht="19.5" thickBot="1" x14ac:dyDescent="0.35">
      <c r="U81" s="12"/>
      <c r="V81" s="13"/>
      <c r="W81" s="13"/>
      <c r="X81" s="13"/>
      <c r="Y81" s="14"/>
    </row>
    <row r="82" spans="21:25" ht="19.5" thickBot="1" x14ac:dyDescent="0.35">
      <c r="U82" s="49">
        <f>+U78+1</f>
        <v>18</v>
      </c>
      <c r="V82" s="48" t="s">
        <v>32</v>
      </c>
      <c r="W82" s="48">
        <f>+X84-W83</f>
        <v>719927.80006774433</v>
      </c>
      <c r="X82" s="48"/>
      <c r="Y82" s="54">
        <f>+Y78-W82</f>
        <v>5.2386894822120667E-9</v>
      </c>
    </row>
    <row r="83" spans="21:25" x14ac:dyDescent="0.3">
      <c r="U83" s="12"/>
      <c r="V83" s="48" t="s">
        <v>34</v>
      </c>
      <c r="W83" s="48">
        <f>VLOOKUP(U82,$P$10:$T$28,3,FALSE)</f>
        <v>11654.82314525603</v>
      </c>
      <c r="X83" s="48"/>
      <c r="Y83" s="44"/>
    </row>
    <row r="84" spans="21:25" ht="19.5" thickBot="1" x14ac:dyDescent="0.35">
      <c r="U84" s="15"/>
      <c r="V84" s="60" t="s">
        <v>31</v>
      </c>
      <c r="W84" s="60"/>
      <c r="X84" s="60">
        <f>-VLOOKUP(U82,$P$10:$T$28,4,FALSE)</f>
        <v>731582.62321300036</v>
      </c>
      <c r="Y84" s="47"/>
    </row>
  </sheetData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47F43-992E-4828-A428-02A192879E6D}">
  <dimension ref="A1:AG84"/>
  <sheetViews>
    <sheetView workbookViewId="0">
      <pane xSplit="6" topLeftCell="S1" activePane="topRight" state="frozen"/>
      <selection pane="topRight" activeCell="L37" sqref="L37"/>
    </sheetView>
  </sheetViews>
  <sheetFormatPr baseColWidth="10" defaultRowHeight="18.75" x14ac:dyDescent="0.3"/>
  <cols>
    <col min="5" max="5" width="7.5703125" customWidth="1"/>
    <col min="6" max="6" width="1.42578125" customWidth="1"/>
    <col min="7" max="7" width="13.42578125" style="4" customWidth="1"/>
    <col min="8" max="8" width="14.42578125" style="4" bestFit="1" customWidth="1"/>
    <col min="9" max="10" width="12.28515625" style="4" bestFit="1" customWidth="1"/>
    <col min="11" max="11" width="15.42578125" style="4" customWidth="1"/>
    <col min="12" max="13" width="12.28515625" style="4" bestFit="1" customWidth="1"/>
    <col min="14" max="14" width="11.42578125" style="4"/>
    <col min="15" max="15" width="14.42578125" style="4" bestFit="1" customWidth="1"/>
    <col min="16" max="16" width="7" style="4" customWidth="1"/>
    <col min="17" max="17" width="16" style="4" customWidth="1"/>
    <col min="18" max="18" width="15.28515625" style="4" customWidth="1"/>
    <col min="19" max="19" width="13.42578125" style="4" customWidth="1"/>
    <col min="20" max="20" width="14.42578125" style="4" bestFit="1" customWidth="1"/>
    <col min="21" max="21" width="7" style="4" customWidth="1"/>
    <col min="22" max="22" width="19.7109375" style="4" customWidth="1"/>
    <col min="23" max="23" width="15.28515625" style="4" customWidth="1"/>
    <col min="24" max="25" width="14.42578125" style="4" bestFit="1" customWidth="1"/>
    <col min="26" max="26" width="7" style="4" customWidth="1"/>
    <col min="27" max="27" width="16" style="4" customWidth="1"/>
    <col min="28" max="28" width="15.28515625" style="4" customWidth="1"/>
    <col min="29" max="29" width="13.42578125" style="4" customWidth="1"/>
    <col min="30" max="32" width="14.42578125" style="4" bestFit="1" customWidth="1"/>
    <col min="33" max="33" width="14.5703125" style="4" customWidth="1"/>
    <col min="34" max="16384" width="11.42578125" style="4"/>
  </cols>
  <sheetData>
    <row r="1" spans="1:33" x14ac:dyDescent="0.3">
      <c r="A1" s="1"/>
      <c r="B1" s="1"/>
      <c r="C1" s="1"/>
      <c r="D1" s="1"/>
      <c r="E1" s="1"/>
      <c r="F1" s="2"/>
      <c r="G1" s="5" t="s">
        <v>0</v>
      </c>
      <c r="H1" s="6"/>
      <c r="I1" s="6"/>
      <c r="J1" s="7"/>
      <c r="K1" s="28" t="s">
        <v>12</v>
      </c>
      <c r="L1" s="29"/>
      <c r="M1" s="29"/>
      <c r="N1" s="29"/>
      <c r="O1" s="30"/>
      <c r="P1" s="28" t="s">
        <v>20</v>
      </c>
      <c r="Q1" s="29"/>
      <c r="R1" s="29"/>
      <c r="S1" s="29"/>
      <c r="T1" s="29"/>
      <c r="U1" s="28" t="s">
        <v>26</v>
      </c>
      <c r="V1" s="29"/>
      <c r="W1" s="29"/>
      <c r="X1" s="29"/>
      <c r="Y1" s="30"/>
      <c r="Z1" s="28" t="s">
        <v>35</v>
      </c>
      <c r="AA1" s="29"/>
      <c r="AB1" s="29"/>
      <c r="AC1" s="29"/>
      <c r="AD1" s="29"/>
      <c r="AE1" s="67"/>
      <c r="AF1" s="30"/>
      <c r="AG1" s="30"/>
    </row>
    <row r="2" spans="1:33" x14ac:dyDescent="0.3">
      <c r="A2" s="1"/>
      <c r="B2" s="1"/>
      <c r="C2" s="1"/>
      <c r="D2" s="1"/>
      <c r="E2" s="1"/>
      <c r="F2" s="2"/>
      <c r="G2" s="18" t="s">
        <v>1</v>
      </c>
      <c r="H2" s="19"/>
      <c r="I2" s="19"/>
      <c r="J2" s="20"/>
      <c r="K2" s="31"/>
      <c r="L2" s="32"/>
      <c r="M2" s="32"/>
      <c r="N2" s="32"/>
      <c r="O2" s="33"/>
      <c r="P2" s="34" t="s">
        <v>21</v>
      </c>
      <c r="Q2" s="32"/>
      <c r="R2" s="32"/>
      <c r="S2" s="32"/>
      <c r="T2" s="32"/>
      <c r="U2" s="34" t="s">
        <v>27</v>
      </c>
      <c r="V2" s="32"/>
      <c r="W2" s="32"/>
      <c r="X2" s="32"/>
      <c r="Y2" s="33"/>
      <c r="Z2" s="34" t="s">
        <v>36</v>
      </c>
      <c r="AA2" s="32"/>
      <c r="AB2" s="32"/>
      <c r="AC2" s="32"/>
      <c r="AD2" s="32"/>
      <c r="AE2" s="68"/>
      <c r="AF2" s="33"/>
      <c r="AG2" s="33"/>
    </row>
    <row r="3" spans="1:33" ht="19.5" thickBot="1" x14ac:dyDescent="0.35">
      <c r="A3" s="1"/>
      <c r="B3" s="1"/>
      <c r="C3" s="1"/>
      <c r="D3" s="1"/>
      <c r="E3" s="1"/>
      <c r="F3" s="2"/>
      <c r="G3" s="8"/>
      <c r="H3" s="9"/>
      <c r="I3" s="9"/>
      <c r="J3" s="10"/>
      <c r="K3" s="31"/>
      <c r="L3" s="32"/>
      <c r="M3" s="32"/>
      <c r="N3" s="32"/>
      <c r="O3" s="33"/>
      <c r="P3" s="31"/>
      <c r="Q3" s="32"/>
      <c r="R3" s="32"/>
      <c r="S3" s="32"/>
      <c r="T3" s="32"/>
      <c r="U3" s="31"/>
      <c r="V3" s="32"/>
      <c r="W3" s="32"/>
      <c r="X3" s="32"/>
      <c r="Y3" s="33"/>
      <c r="Z3" s="31"/>
      <c r="AA3" s="32"/>
      <c r="AB3" s="32"/>
      <c r="AC3" s="32"/>
      <c r="AD3" s="32"/>
      <c r="AE3" s="68"/>
      <c r="AF3" s="33"/>
      <c r="AG3" s="33"/>
    </row>
    <row r="4" spans="1:33" x14ac:dyDescent="0.3">
      <c r="A4" s="1"/>
      <c r="B4" s="1"/>
      <c r="C4" s="1"/>
      <c r="D4" s="1"/>
      <c r="E4" s="1"/>
      <c r="F4" s="2"/>
      <c r="G4" s="8" t="s">
        <v>2</v>
      </c>
      <c r="H4" s="9">
        <v>9000000</v>
      </c>
      <c r="I4" s="9"/>
      <c r="J4" s="10"/>
      <c r="K4" s="31"/>
      <c r="L4" s="32"/>
      <c r="M4" s="32"/>
      <c r="N4" s="32"/>
      <c r="O4" s="33"/>
      <c r="P4" s="31"/>
      <c r="Q4" s="32"/>
      <c r="R4" s="32"/>
      <c r="S4" s="32"/>
      <c r="T4" s="32"/>
      <c r="U4" s="31"/>
      <c r="V4" s="32"/>
      <c r="W4" s="32"/>
      <c r="X4" s="32"/>
      <c r="Y4" s="33"/>
      <c r="Z4" s="31"/>
      <c r="AA4" s="32"/>
      <c r="AB4" s="32"/>
      <c r="AC4" s="32"/>
      <c r="AD4" s="32"/>
      <c r="AE4" s="68"/>
      <c r="AF4" s="33"/>
      <c r="AG4" s="67"/>
    </row>
    <row r="5" spans="1:33" x14ac:dyDescent="0.3">
      <c r="A5" s="1"/>
      <c r="B5" s="1"/>
      <c r="C5" s="1"/>
      <c r="D5" s="1"/>
      <c r="E5" s="1"/>
      <c r="F5" s="2"/>
      <c r="G5" s="8" t="s">
        <v>3</v>
      </c>
      <c r="H5" s="11">
        <v>0.01</v>
      </c>
      <c r="I5" s="9"/>
      <c r="J5" s="10"/>
      <c r="K5" s="31"/>
      <c r="L5" s="32"/>
      <c r="M5" s="32"/>
      <c r="N5" s="32"/>
      <c r="O5" s="33"/>
      <c r="P5" s="31"/>
      <c r="Q5" s="32"/>
      <c r="R5" s="32"/>
      <c r="S5" s="32"/>
      <c r="T5" s="32"/>
      <c r="U5" s="31"/>
      <c r="V5" s="32"/>
      <c r="W5" s="32"/>
      <c r="X5" s="32"/>
      <c r="Y5" s="33"/>
      <c r="Z5" s="31"/>
      <c r="AA5" s="32"/>
      <c r="AB5" s="32"/>
      <c r="AC5" s="32"/>
      <c r="AD5" s="32"/>
      <c r="AE5" s="68"/>
      <c r="AF5" s="33"/>
      <c r="AG5" s="68"/>
    </row>
    <row r="6" spans="1:33" x14ac:dyDescent="0.3">
      <c r="A6" s="1"/>
      <c r="B6" s="1"/>
      <c r="C6" s="1"/>
      <c r="D6" s="1"/>
      <c r="E6" s="1"/>
      <c r="F6" s="2"/>
      <c r="G6" s="8" t="s">
        <v>4</v>
      </c>
      <c r="H6" s="9">
        <v>15</v>
      </c>
      <c r="I6" s="9" t="s">
        <v>5</v>
      </c>
      <c r="J6" s="10"/>
      <c r="K6" s="31"/>
      <c r="L6" s="32"/>
      <c r="M6" s="32"/>
      <c r="N6" s="32"/>
      <c r="O6" s="33"/>
      <c r="P6" s="31"/>
      <c r="Q6" s="32"/>
      <c r="R6" s="32"/>
      <c r="S6" s="32"/>
      <c r="T6" s="32"/>
      <c r="U6" s="31"/>
      <c r="V6" s="32"/>
      <c r="W6" s="32"/>
      <c r="X6" s="32"/>
      <c r="Y6" s="33"/>
      <c r="Z6" s="31"/>
      <c r="AA6" s="32"/>
      <c r="AB6" s="32"/>
      <c r="AC6" s="32"/>
      <c r="AD6" s="32"/>
      <c r="AE6" s="68"/>
      <c r="AF6" s="33"/>
      <c r="AG6" s="68"/>
    </row>
    <row r="7" spans="1:33" ht="19.5" thickBot="1" x14ac:dyDescent="0.35">
      <c r="A7" s="1"/>
      <c r="B7" s="1"/>
      <c r="C7" s="1"/>
      <c r="D7" s="1"/>
      <c r="E7" s="1"/>
      <c r="F7" s="2"/>
      <c r="G7" s="8" t="s">
        <v>6</v>
      </c>
      <c r="H7" s="11">
        <v>0.08</v>
      </c>
      <c r="I7" s="9" t="s">
        <v>93</v>
      </c>
      <c r="J7" s="10"/>
      <c r="K7" s="12"/>
      <c r="L7" s="13"/>
      <c r="M7" s="13"/>
      <c r="N7" s="13"/>
      <c r="O7" s="14"/>
      <c r="P7" s="12"/>
      <c r="Q7" s="13"/>
      <c r="R7" s="13"/>
      <c r="S7" s="13"/>
      <c r="T7" s="13"/>
      <c r="U7" s="12"/>
      <c r="V7" s="13"/>
      <c r="W7" s="13"/>
      <c r="X7" s="13"/>
      <c r="Y7" s="14"/>
      <c r="Z7" s="34"/>
      <c r="AA7" s="35"/>
      <c r="AB7" s="64" t="s">
        <v>37</v>
      </c>
      <c r="AC7" s="64" t="s">
        <v>37</v>
      </c>
      <c r="AD7" s="64" t="s">
        <v>37</v>
      </c>
      <c r="AE7" s="69" t="s">
        <v>37</v>
      </c>
      <c r="AF7" s="65"/>
      <c r="AG7" s="69"/>
    </row>
    <row r="8" spans="1:33" x14ac:dyDescent="0.3">
      <c r="A8" s="1"/>
      <c r="B8" s="1"/>
      <c r="C8" s="1"/>
      <c r="D8" s="1"/>
      <c r="E8" s="1"/>
      <c r="F8" s="2"/>
      <c r="G8" s="8" t="s">
        <v>11</v>
      </c>
      <c r="H8" s="11">
        <v>5.0000000000000001E-3</v>
      </c>
      <c r="I8" s="9"/>
      <c r="J8" s="10"/>
      <c r="K8" s="34" t="s">
        <v>15</v>
      </c>
      <c r="L8" s="35"/>
      <c r="M8" s="35"/>
      <c r="N8" s="35"/>
      <c r="O8" s="43" t="s">
        <v>19</v>
      </c>
      <c r="P8" s="34"/>
      <c r="Q8" s="35"/>
      <c r="R8" s="35"/>
      <c r="S8" s="35"/>
      <c r="T8" s="37"/>
      <c r="U8" s="34"/>
      <c r="V8" s="35"/>
      <c r="W8" s="35"/>
      <c r="X8" s="35"/>
      <c r="Y8" s="39"/>
      <c r="Z8" s="34"/>
      <c r="AA8" s="45" t="s">
        <v>37</v>
      </c>
      <c r="AB8" s="64" t="s">
        <v>39</v>
      </c>
      <c r="AC8" s="64" t="s">
        <v>39</v>
      </c>
      <c r="AD8" s="64" t="s">
        <v>39</v>
      </c>
      <c r="AE8" s="69" t="s">
        <v>39</v>
      </c>
      <c r="AF8" s="65" t="s">
        <v>41</v>
      </c>
      <c r="AG8" s="69" t="s">
        <v>41</v>
      </c>
    </row>
    <row r="9" spans="1:33" x14ac:dyDescent="0.3">
      <c r="A9" s="1"/>
      <c r="B9" s="1"/>
      <c r="C9" s="1"/>
      <c r="D9" s="1"/>
      <c r="E9" s="1"/>
      <c r="F9" s="2"/>
      <c r="G9" s="8"/>
      <c r="H9" s="13" t="s">
        <v>8</v>
      </c>
      <c r="I9" s="13" t="s">
        <v>9</v>
      </c>
      <c r="J9" s="14" t="s">
        <v>10</v>
      </c>
      <c r="K9" s="34" t="s">
        <v>14</v>
      </c>
      <c r="L9" s="35" t="s">
        <v>16</v>
      </c>
      <c r="M9" s="35" t="s">
        <v>17</v>
      </c>
      <c r="N9" s="35" t="s">
        <v>18</v>
      </c>
      <c r="O9" s="23">
        <f>IRR(O10:O28)</f>
        <v>1.5505956987728275E-2</v>
      </c>
      <c r="P9" s="34"/>
      <c r="Q9" s="35"/>
      <c r="R9" s="35"/>
      <c r="S9" s="35"/>
      <c r="T9" s="38"/>
      <c r="U9" s="34"/>
      <c r="V9" s="35"/>
      <c r="W9" s="35"/>
      <c r="X9" s="35"/>
      <c r="Y9" s="40"/>
      <c r="Z9" s="36"/>
      <c r="AA9" s="45" t="s">
        <v>38</v>
      </c>
      <c r="AB9" s="45" t="s">
        <v>9</v>
      </c>
      <c r="AC9" s="45" t="s">
        <v>18</v>
      </c>
      <c r="AD9" s="45" t="s">
        <v>17</v>
      </c>
      <c r="AE9" s="70" t="s">
        <v>40</v>
      </c>
      <c r="AF9" s="46" t="s">
        <v>42</v>
      </c>
      <c r="AG9" s="70" t="s">
        <v>43</v>
      </c>
    </row>
    <row r="10" spans="1:33" x14ac:dyDescent="0.3">
      <c r="A10" s="1"/>
      <c r="B10" s="1"/>
      <c r="C10" s="1"/>
      <c r="D10" s="1"/>
      <c r="E10" s="1"/>
      <c r="F10" s="2"/>
      <c r="G10" s="24" t="s">
        <v>13</v>
      </c>
      <c r="H10" s="25"/>
      <c r="I10" s="25"/>
      <c r="J10" s="26"/>
      <c r="K10" s="36">
        <f>+H4</f>
        <v>9000000</v>
      </c>
      <c r="L10" s="25"/>
      <c r="M10" s="25">
        <f>-H4*H7</f>
        <v>-720000</v>
      </c>
      <c r="N10" s="25"/>
      <c r="O10" s="27">
        <f t="shared" ref="O10:O28" si="0">SUM(K10:N10)</f>
        <v>8280000</v>
      </c>
      <c r="P10" s="36"/>
      <c r="Q10" s="41" t="s">
        <v>22</v>
      </c>
      <c r="R10" s="41" t="s">
        <v>23</v>
      </c>
      <c r="S10" s="41" t="s">
        <v>24</v>
      </c>
      <c r="T10" s="41" t="s">
        <v>25</v>
      </c>
      <c r="U10" s="36"/>
      <c r="V10" s="41"/>
      <c r="W10" s="45" t="s">
        <v>28</v>
      </c>
      <c r="X10" s="45" t="s">
        <v>29</v>
      </c>
      <c r="Y10" s="46" t="s">
        <v>30</v>
      </c>
      <c r="AB10" s="119"/>
      <c r="AC10" s="119"/>
      <c r="AD10" s="119">
        <f>+M10</f>
        <v>-720000</v>
      </c>
      <c r="AE10" s="120">
        <f t="shared" ref="AE10:AE28" si="1">+AB10+AC10+AD10</f>
        <v>-720000</v>
      </c>
      <c r="AF10" s="44">
        <f t="shared" ref="AF10:AF19" si="2">+AE10-AA10</f>
        <v>-720000</v>
      </c>
      <c r="AG10" s="74">
        <f>+AF10</f>
        <v>-720000</v>
      </c>
    </row>
    <row r="11" spans="1:33" ht="19.5" thickBot="1" x14ac:dyDescent="0.35">
      <c r="A11" s="1"/>
      <c r="B11" s="1"/>
      <c r="C11" s="1"/>
      <c r="D11" s="1"/>
      <c r="E11" s="1"/>
      <c r="F11" s="2"/>
      <c r="G11" s="12">
        <v>1</v>
      </c>
      <c r="H11" s="73">
        <f>-PPMT($H$5,G11,$G$25,$H$4,0,0)</f>
        <v>559114.02166416892</v>
      </c>
      <c r="I11" s="9">
        <f>-IPMT($H$5,G11,$G$25,$H$4,0,0)</f>
        <v>90000</v>
      </c>
      <c r="J11" s="10">
        <f>+H11+I11</f>
        <v>649114.02166416892</v>
      </c>
      <c r="K11" s="12"/>
      <c r="L11" s="13">
        <v>0</v>
      </c>
      <c r="M11" s="13">
        <v>0</v>
      </c>
      <c r="N11" s="13">
        <v>0</v>
      </c>
      <c r="O11" s="21">
        <f t="shared" si="0"/>
        <v>0</v>
      </c>
      <c r="P11" s="12">
        <v>1</v>
      </c>
      <c r="Q11" s="42">
        <f>O10</f>
        <v>8280000</v>
      </c>
      <c r="R11" s="118">
        <f>+Q11*$O$9</f>
        <v>128389.32385839013</v>
      </c>
      <c r="S11" s="42">
        <f>+O11</f>
        <v>0</v>
      </c>
      <c r="T11" s="55">
        <f>+Q11+R11+S11</f>
        <v>8408389.3238583896</v>
      </c>
      <c r="U11" s="12" t="s">
        <v>33</v>
      </c>
      <c r="V11" s="117" t="s">
        <v>31</v>
      </c>
      <c r="W11" s="117">
        <f>+Q11</f>
        <v>8280000</v>
      </c>
      <c r="X11" s="117"/>
      <c r="Y11" s="44"/>
      <c r="Z11" s="36">
        <v>1</v>
      </c>
      <c r="AA11" s="75">
        <f>-R11</f>
        <v>-128389.32385839013</v>
      </c>
      <c r="AB11" s="55"/>
      <c r="AC11" s="55"/>
      <c r="AD11" s="55"/>
      <c r="AE11" s="120">
        <f t="shared" si="1"/>
        <v>0</v>
      </c>
      <c r="AF11" s="44">
        <f t="shared" si="2"/>
        <v>128389.32385839013</v>
      </c>
      <c r="AG11" s="74">
        <f>+AF11+AG10</f>
        <v>-591610.6761416099</v>
      </c>
    </row>
    <row r="12" spans="1:33" ht="19.5" thickBot="1" x14ac:dyDescent="0.35">
      <c r="A12" s="1"/>
      <c r="B12" s="1"/>
      <c r="C12" s="1"/>
      <c r="D12" s="1"/>
      <c r="E12" s="1"/>
      <c r="F12" s="2"/>
      <c r="G12" s="12">
        <f>+G11+1</f>
        <v>2</v>
      </c>
      <c r="H12" s="73">
        <f t="shared" ref="H12:H25" si="3">-PPMT($H$5,G12,$G$25,$H$4,0,0)</f>
        <v>564705.16188081063</v>
      </c>
      <c r="I12" s="9">
        <f t="shared" ref="I12:I25" si="4">-IPMT($H$5,G12,$G$25,$H$4,0,0)</f>
        <v>84408.859783358334</v>
      </c>
      <c r="J12" s="10">
        <f t="shared" ref="J12:J25" si="5">+H12+I12</f>
        <v>649114.02166416892</v>
      </c>
      <c r="K12" s="12"/>
      <c r="L12" s="13">
        <v>0</v>
      </c>
      <c r="M12" s="13">
        <v>0</v>
      </c>
      <c r="N12" s="13">
        <v>0</v>
      </c>
      <c r="O12" s="21">
        <f t="shared" si="0"/>
        <v>0</v>
      </c>
      <c r="P12" s="12">
        <f>+P11+1</f>
        <v>2</v>
      </c>
      <c r="Q12" s="42">
        <f>+T11</f>
        <v>8408389.3238583896</v>
      </c>
      <c r="R12" s="118">
        <f>+Q12*$O$9</f>
        <v>130380.12319182183</v>
      </c>
      <c r="S12" s="42">
        <f>+O12</f>
        <v>0</v>
      </c>
      <c r="T12" s="55">
        <f>+Q12+R12+S12</f>
        <v>8538769.447050212</v>
      </c>
      <c r="U12" s="12"/>
      <c r="V12" s="117" t="s">
        <v>32</v>
      </c>
      <c r="W12" s="117"/>
      <c r="X12" s="117">
        <f>+W11</f>
        <v>8280000</v>
      </c>
      <c r="Y12" s="50">
        <f>+X12</f>
        <v>8280000</v>
      </c>
      <c r="Z12" s="36">
        <f>+Z11+1</f>
        <v>2</v>
      </c>
      <c r="AA12" s="75">
        <f t="shared" ref="AA12:AA28" si="6">-R12</f>
        <v>-130380.12319182183</v>
      </c>
      <c r="AB12" s="55"/>
      <c r="AC12" s="55"/>
      <c r="AD12" s="55"/>
      <c r="AE12" s="120">
        <f t="shared" si="1"/>
        <v>0</v>
      </c>
      <c r="AF12" s="44">
        <f t="shared" si="2"/>
        <v>130380.12319182183</v>
      </c>
      <c r="AG12" s="74">
        <f t="shared" ref="AG12:AG28" si="7">+AF12+AG11</f>
        <v>-461230.55294978805</v>
      </c>
    </row>
    <row r="13" spans="1:33" ht="19.5" thickBot="1" x14ac:dyDescent="0.35">
      <c r="A13" s="1"/>
      <c r="B13" s="1"/>
      <c r="C13" s="1"/>
      <c r="D13" s="1"/>
      <c r="E13" s="1"/>
      <c r="F13" s="2"/>
      <c r="G13" s="12">
        <f t="shared" ref="G13:G28" si="8">+G12+1</f>
        <v>3</v>
      </c>
      <c r="H13" s="73">
        <f t="shared" si="3"/>
        <v>570352.21349961869</v>
      </c>
      <c r="I13" s="9">
        <f t="shared" si="4"/>
        <v>78761.808164550224</v>
      </c>
      <c r="J13" s="10">
        <f t="shared" si="5"/>
        <v>649114.02166416892</v>
      </c>
      <c r="K13" s="12"/>
      <c r="L13" s="13">
        <v>0</v>
      </c>
      <c r="M13" s="13">
        <v>0</v>
      </c>
      <c r="N13" s="13">
        <v>0</v>
      </c>
      <c r="O13" s="21">
        <f t="shared" si="0"/>
        <v>0</v>
      </c>
      <c r="P13" s="12">
        <f t="shared" ref="P13:P28" si="9">+P12+1</f>
        <v>3</v>
      </c>
      <c r="Q13" s="42">
        <f>+T12</f>
        <v>8538769.447050212</v>
      </c>
      <c r="R13" s="118">
        <f>+Q13*$O$9</f>
        <v>132401.79177408892</v>
      </c>
      <c r="S13" s="42">
        <f>+O13</f>
        <v>0</v>
      </c>
      <c r="T13" s="55">
        <f>+Q13+R13+S13</f>
        <v>8671171.2388243005</v>
      </c>
      <c r="U13" s="12"/>
      <c r="V13" s="42"/>
      <c r="W13" s="42"/>
      <c r="X13" s="42"/>
      <c r="Y13" s="44"/>
      <c r="Z13" s="36">
        <f t="shared" ref="Z13:Z28" si="10">+Z12+1</f>
        <v>3</v>
      </c>
      <c r="AA13" s="75">
        <f t="shared" si="6"/>
        <v>-132401.79177408892</v>
      </c>
      <c r="AB13" s="55"/>
      <c r="AC13" s="55"/>
      <c r="AD13" s="55"/>
      <c r="AE13" s="120">
        <f t="shared" si="1"/>
        <v>0</v>
      </c>
      <c r="AF13" s="44">
        <f t="shared" si="2"/>
        <v>132401.79177408892</v>
      </c>
      <c r="AG13" s="74">
        <f t="shared" si="7"/>
        <v>-328828.76117569912</v>
      </c>
    </row>
    <row r="14" spans="1:33" ht="19.5" thickBot="1" x14ac:dyDescent="0.35">
      <c r="A14" s="1"/>
      <c r="B14" s="1"/>
      <c r="C14" s="1"/>
      <c r="D14" s="1"/>
      <c r="E14" s="1"/>
      <c r="F14" s="2"/>
      <c r="G14" s="12">
        <f t="shared" si="8"/>
        <v>4</v>
      </c>
      <c r="H14" s="73">
        <f t="shared" si="3"/>
        <v>576055.73563461495</v>
      </c>
      <c r="I14" s="9">
        <f t="shared" si="4"/>
        <v>73058.286029554045</v>
      </c>
      <c r="J14" s="10">
        <f t="shared" si="5"/>
        <v>649114.02166416903</v>
      </c>
      <c r="K14" s="12"/>
      <c r="L14" s="13">
        <f>-J11</f>
        <v>-649114.02166416892</v>
      </c>
      <c r="M14" s="13">
        <v>0</v>
      </c>
      <c r="N14" s="13">
        <f>+L14*$H$8</f>
        <v>-3245.5701083208446</v>
      </c>
      <c r="O14" s="21">
        <f t="shared" si="0"/>
        <v>-652359.59177248972</v>
      </c>
      <c r="P14" s="12">
        <f t="shared" si="9"/>
        <v>4</v>
      </c>
      <c r="Q14" s="42">
        <f>+T13</f>
        <v>8671171.2388243005</v>
      </c>
      <c r="R14" s="55">
        <f>+Q14*$O$9</f>
        <v>134454.8082624361</v>
      </c>
      <c r="S14" s="55">
        <f>+O14</f>
        <v>-652359.59177248972</v>
      </c>
      <c r="T14" s="55">
        <f>+Q14+R14+S14</f>
        <v>8153266.4553142469</v>
      </c>
      <c r="U14" s="49">
        <v>1</v>
      </c>
      <c r="V14" s="117" t="s">
        <v>32</v>
      </c>
      <c r="W14" s="117"/>
      <c r="X14" s="117">
        <f>+W15</f>
        <v>128389.32385839013</v>
      </c>
      <c r="Y14" s="51">
        <f>+Y12+X14</f>
        <v>8408389.3238583896</v>
      </c>
      <c r="Z14" s="36">
        <f t="shared" si="10"/>
        <v>4</v>
      </c>
      <c r="AA14" s="75">
        <f t="shared" si="6"/>
        <v>-134454.8082624361</v>
      </c>
      <c r="AB14" s="55">
        <f>-+I11</f>
        <v>-90000</v>
      </c>
      <c r="AC14" s="55">
        <f>+N14</f>
        <v>-3245.5701083208446</v>
      </c>
      <c r="AD14" s="55"/>
      <c r="AE14" s="120">
        <f t="shared" si="1"/>
        <v>-93245.570108320841</v>
      </c>
      <c r="AF14" s="44">
        <f t="shared" si="2"/>
        <v>41209.238154115257</v>
      </c>
      <c r="AG14" s="74">
        <f t="shared" si="7"/>
        <v>-287619.52302158385</v>
      </c>
    </row>
    <row r="15" spans="1:33" x14ac:dyDescent="0.3">
      <c r="A15" s="1"/>
      <c r="B15" s="1"/>
      <c r="C15" s="1"/>
      <c r="D15" s="1"/>
      <c r="E15" s="1"/>
      <c r="F15" s="2"/>
      <c r="G15" s="12">
        <f t="shared" si="8"/>
        <v>5</v>
      </c>
      <c r="H15" s="73">
        <f t="shared" si="3"/>
        <v>581816.29299096111</v>
      </c>
      <c r="I15" s="9">
        <f t="shared" si="4"/>
        <v>67297.728673207894</v>
      </c>
      <c r="J15" s="10">
        <f t="shared" si="5"/>
        <v>649114.02166416903</v>
      </c>
      <c r="K15" s="12"/>
      <c r="L15" s="13">
        <f>-J12</f>
        <v>-649114.02166416892</v>
      </c>
      <c r="M15" s="13">
        <v>0</v>
      </c>
      <c r="N15" s="13">
        <f t="shared" ref="N15:N28" si="11">+L15*$H$8</f>
        <v>-3245.5701083208446</v>
      </c>
      <c r="O15" s="21">
        <f t="shared" si="0"/>
        <v>-652359.59177248972</v>
      </c>
      <c r="P15" s="12">
        <f t="shared" si="9"/>
        <v>5</v>
      </c>
      <c r="Q15" s="42">
        <f>+T14</f>
        <v>8153266.4553142469</v>
      </c>
      <c r="R15" s="42">
        <f>+Q15*$O$9</f>
        <v>126424.19896559049</v>
      </c>
      <c r="S15" s="42">
        <f>+O15</f>
        <v>-652359.59177248972</v>
      </c>
      <c r="T15" s="42">
        <f>+Q15+R15+S15</f>
        <v>7627331.0625073481</v>
      </c>
      <c r="U15" s="12"/>
      <c r="V15" s="117" t="s">
        <v>34</v>
      </c>
      <c r="W15" s="117">
        <f>VLOOKUP(U14,$P$10:$T$28,3,FALSE)</f>
        <v>128389.32385839013</v>
      </c>
      <c r="X15" s="117"/>
      <c r="Y15" s="44"/>
      <c r="Z15" s="36">
        <f t="shared" si="10"/>
        <v>5</v>
      </c>
      <c r="AA15" s="75">
        <f t="shared" si="6"/>
        <v>-126424.19896559049</v>
      </c>
      <c r="AB15" s="55">
        <f t="shared" ref="AB15:AB28" si="12">-+I12</f>
        <v>-84408.859783358334</v>
      </c>
      <c r="AC15" s="55">
        <f t="shared" ref="AC15:AC28" si="13">+N15</f>
        <v>-3245.5701083208446</v>
      </c>
      <c r="AD15" s="55"/>
      <c r="AE15" s="120">
        <f t="shared" si="1"/>
        <v>-87654.429891679174</v>
      </c>
      <c r="AF15" s="44">
        <f t="shared" si="2"/>
        <v>38769.769073911317</v>
      </c>
      <c r="AG15" s="74">
        <f t="shared" si="7"/>
        <v>-248849.75394767255</v>
      </c>
    </row>
    <row r="16" spans="1:33" x14ac:dyDescent="0.3">
      <c r="A16" s="1"/>
      <c r="B16" s="1"/>
      <c r="C16" s="1"/>
      <c r="D16" s="1"/>
      <c r="E16" s="1"/>
      <c r="F16" s="2"/>
      <c r="G16" s="12">
        <f t="shared" si="8"/>
        <v>6</v>
      </c>
      <c r="H16" s="73">
        <f t="shared" si="3"/>
        <v>587634.45592087065</v>
      </c>
      <c r="I16" s="9">
        <f t="shared" si="4"/>
        <v>61479.56574329827</v>
      </c>
      <c r="J16" s="10">
        <f t="shared" si="5"/>
        <v>649114.02166416892</v>
      </c>
      <c r="K16" s="12"/>
      <c r="L16" s="13">
        <f>-J13</f>
        <v>-649114.02166416892</v>
      </c>
      <c r="M16" s="13">
        <v>0</v>
      </c>
      <c r="N16" s="13">
        <f t="shared" si="11"/>
        <v>-3245.5701083208446</v>
      </c>
      <c r="O16" s="21">
        <f t="shared" si="0"/>
        <v>-652359.59177248972</v>
      </c>
      <c r="P16" s="12">
        <f t="shared" si="9"/>
        <v>6</v>
      </c>
      <c r="Q16" s="42">
        <f t="shared" ref="Q16:Q28" si="14">+T15</f>
        <v>7627331.0625073481</v>
      </c>
      <c r="R16" s="42">
        <f t="shared" ref="R16:R28" si="15">+Q16*$O$9</f>
        <v>118269.06738640275</v>
      </c>
      <c r="S16" s="42">
        <f t="shared" ref="S16:S28" si="16">+O16</f>
        <v>-652359.59177248972</v>
      </c>
      <c r="T16" s="42">
        <f t="shared" ref="T16:T28" si="17">+Q16+R16+S16</f>
        <v>7093240.5381212607</v>
      </c>
      <c r="U16" s="12"/>
      <c r="V16" s="117" t="s">
        <v>31</v>
      </c>
      <c r="W16" s="117"/>
      <c r="X16" s="117">
        <f>-VLOOKUP(U14,$P$10:$T$28,4,FALSE)</f>
        <v>0</v>
      </c>
      <c r="Y16" s="44"/>
      <c r="Z16" s="36">
        <f t="shared" si="10"/>
        <v>6</v>
      </c>
      <c r="AA16" s="75">
        <f t="shared" si="6"/>
        <v>-118269.06738640275</v>
      </c>
      <c r="AB16" s="55">
        <f t="shared" si="12"/>
        <v>-78761.808164550224</v>
      </c>
      <c r="AC16" s="55">
        <f t="shared" si="13"/>
        <v>-3245.5701083208446</v>
      </c>
      <c r="AD16" s="55"/>
      <c r="AE16" s="120">
        <f t="shared" si="1"/>
        <v>-82007.378272871065</v>
      </c>
      <c r="AF16" s="44">
        <f t="shared" si="2"/>
        <v>36261.689113531684</v>
      </c>
      <c r="AG16" s="74">
        <f t="shared" si="7"/>
        <v>-212588.06483414088</v>
      </c>
    </row>
    <row r="17" spans="1:33" ht="19.5" thickBot="1" x14ac:dyDescent="0.35">
      <c r="A17" s="1"/>
      <c r="B17" s="1"/>
      <c r="C17" s="1"/>
      <c r="D17" s="1"/>
      <c r="E17" s="1"/>
      <c r="F17" s="2"/>
      <c r="G17" s="12">
        <f t="shared" si="8"/>
        <v>7</v>
      </c>
      <c r="H17" s="73">
        <f t="shared" si="3"/>
        <v>593510.80048007937</v>
      </c>
      <c r="I17" s="9">
        <f t="shared" si="4"/>
        <v>55603.221184089569</v>
      </c>
      <c r="J17" s="10">
        <f t="shared" si="5"/>
        <v>649114.02166416892</v>
      </c>
      <c r="K17" s="12"/>
      <c r="L17" s="13">
        <f t="shared" ref="L17:L28" si="18">-J14</f>
        <v>-649114.02166416903</v>
      </c>
      <c r="M17" s="13">
        <v>0</v>
      </c>
      <c r="N17" s="13">
        <f t="shared" si="11"/>
        <v>-3245.5701083208451</v>
      </c>
      <c r="O17" s="21">
        <f t="shared" si="0"/>
        <v>-652359.59177248983</v>
      </c>
      <c r="P17" s="12">
        <f t="shared" si="9"/>
        <v>7</v>
      </c>
      <c r="Q17" s="42">
        <f t="shared" si="14"/>
        <v>7093240.5381212607</v>
      </c>
      <c r="R17" s="42">
        <f t="shared" si="15"/>
        <v>109987.48268771883</v>
      </c>
      <c r="S17" s="42">
        <f t="shared" si="16"/>
        <v>-652359.59177248983</v>
      </c>
      <c r="T17" s="42">
        <f t="shared" si="17"/>
        <v>6550868.4290364897</v>
      </c>
      <c r="U17" s="12"/>
      <c r="V17" s="42"/>
      <c r="W17" s="42"/>
      <c r="X17" s="42"/>
      <c r="Y17" s="44"/>
      <c r="Z17" s="36">
        <f t="shared" si="10"/>
        <v>7</v>
      </c>
      <c r="AA17" s="75">
        <f t="shared" si="6"/>
        <v>-109987.48268771883</v>
      </c>
      <c r="AB17" s="55">
        <f t="shared" si="12"/>
        <v>-73058.286029554045</v>
      </c>
      <c r="AC17" s="55">
        <f t="shared" si="13"/>
        <v>-3245.5701083208451</v>
      </c>
      <c r="AD17" s="55"/>
      <c r="AE17" s="120">
        <f t="shared" si="1"/>
        <v>-76303.856137874885</v>
      </c>
      <c r="AF17" s="44">
        <f t="shared" si="2"/>
        <v>33683.626549843946</v>
      </c>
      <c r="AG17" s="74">
        <f t="shared" si="7"/>
        <v>-178904.43828429695</v>
      </c>
    </row>
    <row r="18" spans="1:33" ht="19.5" thickBot="1" x14ac:dyDescent="0.35">
      <c r="A18" s="1"/>
      <c r="B18" s="1"/>
      <c r="C18" s="1"/>
      <c r="D18" s="1"/>
      <c r="E18" s="1"/>
      <c r="F18" s="2"/>
      <c r="G18" s="12">
        <f t="shared" si="8"/>
        <v>8</v>
      </c>
      <c r="H18" s="73">
        <f t="shared" si="3"/>
        <v>599445.90848488011</v>
      </c>
      <c r="I18" s="9">
        <f t="shared" si="4"/>
        <v>49668.113179288768</v>
      </c>
      <c r="J18" s="10">
        <f t="shared" si="5"/>
        <v>649114.02166416892</v>
      </c>
      <c r="K18" s="12"/>
      <c r="L18" s="13">
        <f t="shared" si="18"/>
        <v>-649114.02166416903</v>
      </c>
      <c r="M18" s="13">
        <v>0</v>
      </c>
      <c r="N18" s="13">
        <f t="shared" si="11"/>
        <v>-3245.5701083208451</v>
      </c>
      <c r="O18" s="21">
        <f t="shared" si="0"/>
        <v>-652359.59177248983</v>
      </c>
      <c r="P18" s="12">
        <f t="shared" si="9"/>
        <v>8</v>
      </c>
      <c r="Q18" s="42">
        <f t="shared" si="14"/>
        <v>6550868.4290364897</v>
      </c>
      <c r="R18" s="42">
        <f t="shared" si="15"/>
        <v>101577.4840929069</v>
      </c>
      <c r="S18" s="42">
        <f t="shared" si="16"/>
        <v>-652359.59177248983</v>
      </c>
      <c r="T18" s="42">
        <f t="shared" si="17"/>
        <v>6000086.3213569066</v>
      </c>
      <c r="U18" s="49">
        <v>2</v>
      </c>
      <c r="V18" s="117" t="s">
        <v>32</v>
      </c>
      <c r="W18" s="117"/>
      <c r="X18" s="117">
        <f>++W19</f>
        <v>130380.12319182183</v>
      </c>
      <c r="Y18" s="51">
        <f>+Y14+X18</f>
        <v>8538769.447050212</v>
      </c>
      <c r="Z18" s="36">
        <f t="shared" si="10"/>
        <v>8</v>
      </c>
      <c r="AA18" s="75">
        <f t="shared" si="6"/>
        <v>-101577.4840929069</v>
      </c>
      <c r="AB18" s="55">
        <f t="shared" si="12"/>
        <v>-67297.728673207894</v>
      </c>
      <c r="AC18" s="55">
        <f t="shared" si="13"/>
        <v>-3245.5701083208451</v>
      </c>
      <c r="AD18" s="55"/>
      <c r="AE18" s="120">
        <f t="shared" si="1"/>
        <v>-70543.298781528734</v>
      </c>
      <c r="AF18" s="44">
        <f t="shared" si="2"/>
        <v>31034.185311378169</v>
      </c>
      <c r="AG18" s="74">
        <f t="shared" si="7"/>
        <v>-147870.2529729188</v>
      </c>
    </row>
    <row r="19" spans="1:33" x14ac:dyDescent="0.3">
      <c r="A19" s="1"/>
      <c r="B19" s="1"/>
      <c r="C19" s="1"/>
      <c r="D19" s="1"/>
      <c r="E19" s="1"/>
      <c r="F19" s="2"/>
      <c r="G19" s="12">
        <f t="shared" si="8"/>
        <v>9</v>
      </c>
      <c r="H19" s="73">
        <f t="shared" si="3"/>
        <v>605440.36756972899</v>
      </c>
      <c r="I19" s="9">
        <f t="shared" si="4"/>
        <v>43673.65409443996</v>
      </c>
      <c r="J19" s="10">
        <f t="shared" si="5"/>
        <v>649114.02166416892</v>
      </c>
      <c r="K19" s="12"/>
      <c r="L19" s="13">
        <f t="shared" si="18"/>
        <v>-649114.02166416892</v>
      </c>
      <c r="M19" s="13">
        <v>0</v>
      </c>
      <c r="N19" s="13">
        <f t="shared" si="11"/>
        <v>-3245.5701083208446</v>
      </c>
      <c r="O19" s="21">
        <f t="shared" si="0"/>
        <v>-652359.59177248972</v>
      </c>
      <c r="P19" s="12">
        <f t="shared" si="9"/>
        <v>9</v>
      </c>
      <c r="Q19" s="42">
        <f t="shared" si="14"/>
        <v>6000086.3213569066</v>
      </c>
      <c r="R19" s="42">
        <f t="shared" si="15"/>
        <v>93037.080421616964</v>
      </c>
      <c r="S19" s="42">
        <f t="shared" si="16"/>
        <v>-652359.59177248972</v>
      </c>
      <c r="T19" s="42">
        <f t="shared" si="17"/>
        <v>5440763.8100060336</v>
      </c>
      <c r="U19" s="12"/>
      <c r="V19" s="117" t="s">
        <v>34</v>
      </c>
      <c r="W19" s="117">
        <f>VLOOKUP(U18,$P$10:$T$28,3,FALSE)</f>
        <v>130380.12319182183</v>
      </c>
      <c r="X19" s="117"/>
      <c r="Y19" s="44"/>
      <c r="Z19" s="36">
        <f t="shared" si="10"/>
        <v>9</v>
      </c>
      <c r="AA19" s="75">
        <f t="shared" si="6"/>
        <v>-93037.080421616964</v>
      </c>
      <c r="AB19" s="55">
        <f t="shared" si="12"/>
        <v>-61479.56574329827</v>
      </c>
      <c r="AC19" s="55">
        <f t="shared" si="13"/>
        <v>-3245.5701083208446</v>
      </c>
      <c r="AD19" s="55"/>
      <c r="AE19" s="120">
        <f t="shared" si="1"/>
        <v>-64725.135851619118</v>
      </c>
      <c r="AF19" s="44">
        <f t="shared" si="2"/>
        <v>28311.944569997846</v>
      </c>
      <c r="AG19" s="74">
        <f t="shared" si="7"/>
        <v>-119558.30840292096</v>
      </c>
    </row>
    <row r="20" spans="1:33" x14ac:dyDescent="0.3">
      <c r="A20" s="1"/>
      <c r="B20" s="1"/>
      <c r="C20" s="1"/>
      <c r="D20" s="1"/>
      <c r="E20" s="1"/>
      <c r="F20" s="2"/>
      <c r="G20" s="12">
        <f t="shared" si="8"/>
        <v>10</v>
      </c>
      <c r="H20" s="73">
        <f t="shared" si="3"/>
        <v>611494.77124542627</v>
      </c>
      <c r="I20" s="9">
        <f t="shared" si="4"/>
        <v>37619.250418742675</v>
      </c>
      <c r="J20" s="10">
        <f t="shared" si="5"/>
        <v>649114.02166416892</v>
      </c>
      <c r="K20" s="12"/>
      <c r="L20" s="13">
        <f t="shared" si="18"/>
        <v>-649114.02166416892</v>
      </c>
      <c r="M20" s="13">
        <v>0</v>
      </c>
      <c r="N20" s="13">
        <f t="shared" si="11"/>
        <v>-3245.5701083208446</v>
      </c>
      <c r="O20" s="21">
        <f t="shared" si="0"/>
        <v>-652359.59177248972</v>
      </c>
      <c r="P20" s="12">
        <f t="shared" si="9"/>
        <v>10</v>
      </c>
      <c r="Q20" s="42">
        <f t="shared" si="14"/>
        <v>5440763.8100060336</v>
      </c>
      <c r="R20" s="42">
        <f t="shared" si="15"/>
        <v>84364.249618342175</v>
      </c>
      <c r="S20" s="42">
        <f t="shared" si="16"/>
        <v>-652359.59177248972</v>
      </c>
      <c r="T20" s="42">
        <f t="shared" si="17"/>
        <v>4872768.4678518865</v>
      </c>
      <c r="U20" s="12"/>
      <c r="V20" s="117" t="s">
        <v>31</v>
      </c>
      <c r="W20" s="117"/>
      <c r="X20" s="117">
        <f>-VLOOKUP(U18,$P$10:$T$28,4,FALSE)</f>
        <v>0</v>
      </c>
      <c r="Y20" s="44"/>
      <c r="Z20" s="36">
        <f t="shared" si="10"/>
        <v>10</v>
      </c>
      <c r="AA20" s="75">
        <f t="shared" si="6"/>
        <v>-84364.249618342175</v>
      </c>
      <c r="AB20" s="55">
        <f t="shared" si="12"/>
        <v>-55603.221184089569</v>
      </c>
      <c r="AC20" s="55">
        <f t="shared" si="13"/>
        <v>-3245.5701083208446</v>
      </c>
      <c r="AD20" s="55"/>
      <c r="AE20" s="120">
        <f t="shared" si="1"/>
        <v>-58848.791292410417</v>
      </c>
      <c r="AF20" s="44">
        <f t="shared" ref="AF20:AF28" si="19">+AE20-AA20</f>
        <v>25515.458325931759</v>
      </c>
      <c r="AG20" s="74">
        <f t="shared" si="7"/>
        <v>-94042.850076989198</v>
      </c>
    </row>
    <row r="21" spans="1:33" ht="19.5" thickBot="1" x14ac:dyDescent="0.35">
      <c r="A21" s="1"/>
      <c r="B21" s="1"/>
      <c r="C21" s="1"/>
      <c r="D21" s="1"/>
      <c r="E21" s="1"/>
      <c r="F21" s="2"/>
      <c r="G21" s="12">
        <f t="shared" si="8"/>
        <v>11</v>
      </c>
      <c r="H21" s="73">
        <f t="shared" si="3"/>
        <v>617609.71895788051</v>
      </c>
      <c r="I21" s="9">
        <f t="shared" si="4"/>
        <v>31504.30270628841</v>
      </c>
      <c r="J21" s="10">
        <f t="shared" si="5"/>
        <v>649114.02166416892</v>
      </c>
      <c r="K21" s="12"/>
      <c r="L21" s="13">
        <f t="shared" si="18"/>
        <v>-649114.02166416892</v>
      </c>
      <c r="M21" s="13">
        <v>0</v>
      </c>
      <c r="N21" s="13">
        <f t="shared" si="11"/>
        <v>-3245.5701083208446</v>
      </c>
      <c r="O21" s="21">
        <f t="shared" si="0"/>
        <v>-652359.59177248972</v>
      </c>
      <c r="P21" s="12">
        <f t="shared" si="9"/>
        <v>11</v>
      </c>
      <c r="Q21" s="42">
        <f t="shared" si="14"/>
        <v>4872768.4678518865</v>
      </c>
      <c r="R21" s="42">
        <f t="shared" si="15"/>
        <v>75556.938273669963</v>
      </c>
      <c r="S21" s="42">
        <f t="shared" si="16"/>
        <v>-652359.59177248972</v>
      </c>
      <c r="T21" s="42">
        <f t="shared" si="17"/>
        <v>4295965.8143530674</v>
      </c>
      <c r="U21" s="12"/>
      <c r="V21" s="42"/>
      <c r="W21" s="42"/>
      <c r="X21" s="42"/>
      <c r="Y21" s="44"/>
      <c r="Z21" s="36">
        <f t="shared" si="10"/>
        <v>11</v>
      </c>
      <c r="AA21" s="75">
        <f t="shared" si="6"/>
        <v>-75556.938273669963</v>
      </c>
      <c r="AB21" s="55">
        <f t="shared" si="12"/>
        <v>-49668.113179288768</v>
      </c>
      <c r="AC21" s="55">
        <f t="shared" si="13"/>
        <v>-3245.5701083208446</v>
      </c>
      <c r="AD21" s="55"/>
      <c r="AE21" s="120">
        <f t="shared" si="1"/>
        <v>-52913.683287609616</v>
      </c>
      <c r="AF21" s="44">
        <f t="shared" si="19"/>
        <v>22643.254986060347</v>
      </c>
      <c r="AG21" s="74">
        <f t="shared" si="7"/>
        <v>-71399.595090928851</v>
      </c>
    </row>
    <row r="22" spans="1:33" ht="19.5" thickBot="1" x14ac:dyDescent="0.35">
      <c r="A22" s="1"/>
      <c r="B22" s="1"/>
      <c r="C22" s="1"/>
      <c r="D22" s="1"/>
      <c r="E22" s="1"/>
      <c r="F22" s="2"/>
      <c r="G22" s="12">
        <f t="shared" si="8"/>
        <v>12</v>
      </c>
      <c r="H22" s="73">
        <f t="shared" si="3"/>
        <v>623785.81614745944</v>
      </c>
      <c r="I22" s="9">
        <f t="shared" si="4"/>
        <v>25328.2055167096</v>
      </c>
      <c r="J22" s="10">
        <f t="shared" si="5"/>
        <v>649114.02166416903</v>
      </c>
      <c r="K22" s="12"/>
      <c r="L22" s="13">
        <f t="shared" si="18"/>
        <v>-649114.02166416892</v>
      </c>
      <c r="M22" s="13">
        <v>0</v>
      </c>
      <c r="N22" s="13">
        <f t="shared" si="11"/>
        <v>-3245.5701083208446</v>
      </c>
      <c r="O22" s="21">
        <f t="shared" si="0"/>
        <v>-652359.59177248972</v>
      </c>
      <c r="P22" s="12">
        <f t="shared" si="9"/>
        <v>12</v>
      </c>
      <c r="Q22" s="42">
        <f t="shared" si="14"/>
        <v>4295965.8143530674</v>
      </c>
      <c r="R22" s="42">
        <f t="shared" si="15"/>
        <v>66613.061138109741</v>
      </c>
      <c r="S22" s="42">
        <f t="shared" si="16"/>
        <v>-652359.59177248972</v>
      </c>
      <c r="T22" s="42">
        <f t="shared" si="17"/>
        <v>3710219.283718687</v>
      </c>
      <c r="U22" s="49">
        <f>+U18+1</f>
        <v>3</v>
      </c>
      <c r="V22" s="117" t="s">
        <v>32</v>
      </c>
      <c r="W22" s="117"/>
      <c r="X22" s="117">
        <f>+W23</f>
        <v>132401.79177408892</v>
      </c>
      <c r="Y22" s="51">
        <f>+Y18+X22</f>
        <v>8671171.2388243005</v>
      </c>
      <c r="Z22" s="36">
        <f t="shared" si="10"/>
        <v>12</v>
      </c>
      <c r="AA22" s="75">
        <f t="shared" si="6"/>
        <v>-66613.061138109741</v>
      </c>
      <c r="AB22" s="55">
        <f t="shared" si="12"/>
        <v>-43673.65409443996</v>
      </c>
      <c r="AC22" s="55">
        <f t="shared" si="13"/>
        <v>-3245.5701083208446</v>
      </c>
      <c r="AD22" s="55"/>
      <c r="AE22" s="120">
        <f t="shared" si="1"/>
        <v>-46919.224202760808</v>
      </c>
      <c r="AF22" s="44">
        <f t="shared" si="19"/>
        <v>19693.836935348932</v>
      </c>
      <c r="AG22" s="74">
        <f t="shared" si="7"/>
        <v>-51705.758155579919</v>
      </c>
    </row>
    <row r="23" spans="1:33" x14ac:dyDescent="0.3">
      <c r="A23" s="1"/>
      <c r="B23" s="1"/>
      <c r="C23" s="1"/>
      <c r="D23" s="1"/>
      <c r="E23" s="1"/>
      <c r="F23" s="2"/>
      <c r="G23" s="12">
        <f t="shared" si="8"/>
        <v>13</v>
      </c>
      <c r="H23" s="73">
        <f t="shared" si="3"/>
        <v>630023.6743089339</v>
      </c>
      <c r="I23" s="9">
        <f t="shared" si="4"/>
        <v>19090.347355235011</v>
      </c>
      <c r="J23" s="10">
        <f t="shared" si="5"/>
        <v>649114.02166416892</v>
      </c>
      <c r="K23" s="12"/>
      <c r="L23" s="13">
        <f t="shared" si="18"/>
        <v>-649114.02166416892</v>
      </c>
      <c r="M23" s="13">
        <v>0</v>
      </c>
      <c r="N23" s="13">
        <f t="shared" si="11"/>
        <v>-3245.5701083208446</v>
      </c>
      <c r="O23" s="21">
        <f t="shared" si="0"/>
        <v>-652359.59177248972</v>
      </c>
      <c r="P23" s="12">
        <f t="shared" si="9"/>
        <v>13</v>
      </c>
      <c r="Q23" s="42">
        <f t="shared" si="14"/>
        <v>3710219.283718687</v>
      </c>
      <c r="R23" s="42">
        <f t="shared" si="15"/>
        <v>57530.500628381975</v>
      </c>
      <c r="S23" s="42">
        <f t="shared" si="16"/>
        <v>-652359.59177248972</v>
      </c>
      <c r="T23" s="42">
        <f t="shared" si="17"/>
        <v>3115390.1925745793</v>
      </c>
      <c r="U23" s="12"/>
      <c r="V23" s="117" t="s">
        <v>34</v>
      </c>
      <c r="W23" s="117">
        <f>VLOOKUP(U22,$P$10:$T$28,3,FALSE)</f>
        <v>132401.79177408892</v>
      </c>
      <c r="X23" s="117"/>
      <c r="Y23" s="44"/>
      <c r="Z23" s="36">
        <f t="shared" si="10"/>
        <v>13</v>
      </c>
      <c r="AA23" s="75">
        <f t="shared" si="6"/>
        <v>-57530.500628381975</v>
      </c>
      <c r="AB23" s="55">
        <f t="shared" si="12"/>
        <v>-37619.250418742675</v>
      </c>
      <c r="AC23" s="55">
        <f t="shared" si="13"/>
        <v>-3245.5701083208446</v>
      </c>
      <c r="AD23" s="55"/>
      <c r="AE23" s="120">
        <f t="shared" si="1"/>
        <v>-40864.820527063523</v>
      </c>
      <c r="AF23" s="44">
        <f t="shared" si="19"/>
        <v>16665.680101318452</v>
      </c>
      <c r="AG23" s="74">
        <f t="shared" si="7"/>
        <v>-35040.078054261467</v>
      </c>
    </row>
    <row r="24" spans="1:33" x14ac:dyDescent="0.3">
      <c r="A24" s="1"/>
      <c r="B24" s="1"/>
      <c r="C24" s="1"/>
      <c r="D24" s="1"/>
      <c r="E24" s="1"/>
      <c r="F24" s="2"/>
      <c r="G24" s="12">
        <f t="shared" si="8"/>
        <v>14</v>
      </c>
      <c r="H24" s="73">
        <f t="shared" si="3"/>
        <v>636323.91105202318</v>
      </c>
      <c r="I24" s="9">
        <f t="shared" si="4"/>
        <v>12790.110612145669</v>
      </c>
      <c r="J24" s="10">
        <f t="shared" si="5"/>
        <v>649114.0216641688</v>
      </c>
      <c r="K24" s="12"/>
      <c r="L24" s="13">
        <f t="shared" si="18"/>
        <v>-649114.02166416892</v>
      </c>
      <c r="M24" s="13">
        <v>0</v>
      </c>
      <c r="N24" s="13">
        <f t="shared" si="11"/>
        <v>-3245.5701083208446</v>
      </c>
      <c r="O24" s="21">
        <f t="shared" si="0"/>
        <v>-652359.59177248972</v>
      </c>
      <c r="P24" s="12">
        <f t="shared" si="9"/>
        <v>14</v>
      </c>
      <c r="Q24" s="42">
        <f t="shared" si="14"/>
        <v>3115390.1925745793</v>
      </c>
      <c r="R24" s="42">
        <f t="shared" si="15"/>
        <v>48307.106326051937</v>
      </c>
      <c r="S24" s="42">
        <f t="shared" si="16"/>
        <v>-652359.59177248972</v>
      </c>
      <c r="T24" s="42">
        <f t="shared" si="17"/>
        <v>2511337.7071281415</v>
      </c>
      <c r="U24" s="12"/>
      <c r="V24" s="117" t="s">
        <v>31</v>
      </c>
      <c r="W24" s="117"/>
      <c r="X24" s="117">
        <f>-VLOOKUP(U22,$P$10:$T$28,4,FALSE)</f>
        <v>0</v>
      </c>
      <c r="Y24" s="44"/>
      <c r="Z24" s="36">
        <f t="shared" si="10"/>
        <v>14</v>
      </c>
      <c r="AA24" s="75">
        <f t="shared" si="6"/>
        <v>-48307.106326051937</v>
      </c>
      <c r="AB24" s="55">
        <f t="shared" si="12"/>
        <v>-31504.30270628841</v>
      </c>
      <c r="AC24" s="55">
        <f t="shared" si="13"/>
        <v>-3245.5701083208446</v>
      </c>
      <c r="AD24" s="55"/>
      <c r="AE24" s="120">
        <f t="shared" si="1"/>
        <v>-34749.872814609254</v>
      </c>
      <c r="AF24" s="44">
        <f t="shared" si="19"/>
        <v>13557.233511442682</v>
      </c>
      <c r="AG24" s="74">
        <f t="shared" si="7"/>
        <v>-21482.844542818784</v>
      </c>
    </row>
    <row r="25" spans="1:33" ht="19.5" thickBot="1" x14ac:dyDescent="0.35">
      <c r="A25" s="1"/>
      <c r="B25" s="1"/>
      <c r="C25" s="1"/>
      <c r="D25" s="1"/>
      <c r="E25" s="1"/>
      <c r="F25" s="2"/>
      <c r="G25" s="12">
        <f t="shared" si="8"/>
        <v>15</v>
      </c>
      <c r="H25" s="73">
        <f t="shared" si="3"/>
        <v>642687.15016254352</v>
      </c>
      <c r="I25" s="9">
        <f t="shared" si="4"/>
        <v>6426.8715016254364</v>
      </c>
      <c r="J25" s="10">
        <f t="shared" si="5"/>
        <v>649114.02166416892</v>
      </c>
      <c r="K25" s="12"/>
      <c r="L25" s="13">
        <f t="shared" si="18"/>
        <v>-649114.02166416903</v>
      </c>
      <c r="M25" s="13">
        <v>0</v>
      </c>
      <c r="N25" s="13">
        <f t="shared" si="11"/>
        <v>-3245.5701083208451</v>
      </c>
      <c r="O25" s="21">
        <f t="shared" si="0"/>
        <v>-652359.59177248983</v>
      </c>
      <c r="P25" s="12">
        <f t="shared" si="9"/>
        <v>15</v>
      </c>
      <c r="Q25" s="42">
        <f t="shared" si="14"/>
        <v>2511337.7071281415</v>
      </c>
      <c r="R25" s="42">
        <f t="shared" si="15"/>
        <v>38940.694468389112</v>
      </c>
      <c r="S25" s="42">
        <f t="shared" si="16"/>
        <v>-652359.59177248983</v>
      </c>
      <c r="T25" s="42">
        <f t="shared" si="17"/>
        <v>1897918.8098240411</v>
      </c>
      <c r="U25" s="12"/>
      <c r="V25" s="42"/>
      <c r="W25" s="42"/>
      <c r="X25" s="42"/>
      <c r="Y25" s="44"/>
      <c r="Z25" s="36">
        <f t="shared" si="10"/>
        <v>15</v>
      </c>
      <c r="AA25" s="75">
        <f t="shared" si="6"/>
        <v>-38940.694468389112</v>
      </c>
      <c r="AB25" s="55">
        <f t="shared" si="12"/>
        <v>-25328.2055167096</v>
      </c>
      <c r="AC25" s="55">
        <f t="shared" si="13"/>
        <v>-3245.5701083208451</v>
      </c>
      <c r="AD25" s="55"/>
      <c r="AE25" s="120">
        <f t="shared" si="1"/>
        <v>-28573.775625030445</v>
      </c>
      <c r="AF25" s="44">
        <f t="shared" si="19"/>
        <v>10366.918843358668</v>
      </c>
      <c r="AG25" s="74">
        <f t="shared" si="7"/>
        <v>-11115.925699460116</v>
      </c>
    </row>
    <row r="26" spans="1:33" ht="19.5" thickBot="1" x14ac:dyDescent="0.35">
      <c r="A26" s="1"/>
      <c r="B26" s="1"/>
      <c r="C26" s="1"/>
      <c r="D26" s="1"/>
      <c r="E26" s="1"/>
      <c r="F26" s="2"/>
      <c r="G26" s="12">
        <f t="shared" si="8"/>
        <v>16</v>
      </c>
      <c r="H26" s="73"/>
      <c r="I26" s="9"/>
      <c r="J26" s="10"/>
      <c r="K26" s="12"/>
      <c r="L26" s="13">
        <f t="shared" si="18"/>
        <v>-649114.02166416892</v>
      </c>
      <c r="M26" s="13">
        <v>0</v>
      </c>
      <c r="N26" s="13">
        <f t="shared" si="11"/>
        <v>-3245.5701083208446</v>
      </c>
      <c r="O26" s="21">
        <f t="shared" si="0"/>
        <v>-652359.59177248972</v>
      </c>
      <c r="P26" s="12">
        <f t="shared" si="9"/>
        <v>16</v>
      </c>
      <c r="Q26" s="42">
        <f t="shared" si="14"/>
        <v>1897918.8098240411</v>
      </c>
      <c r="R26" s="42">
        <f t="shared" si="15"/>
        <v>29429.047431332023</v>
      </c>
      <c r="S26" s="42">
        <f t="shared" si="16"/>
        <v>-652359.59177248972</v>
      </c>
      <c r="T26" s="42">
        <f t="shared" si="17"/>
        <v>1274988.2654828834</v>
      </c>
      <c r="U26" s="49">
        <f>+U22+1</f>
        <v>4</v>
      </c>
      <c r="V26" s="117" t="s">
        <v>32</v>
      </c>
      <c r="W26" s="117">
        <f>+X28-W27</f>
        <v>517904.78351005365</v>
      </c>
      <c r="X26" s="117"/>
      <c r="Y26" s="51">
        <f>+Y22-W26</f>
        <v>8153266.4553142469</v>
      </c>
      <c r="Z26" s="36">
        <f t="shared" si="10"/>
        <v>16</v>
      </c>
      <c r="AA26" s="75">
        <f t="shared" si="6"/>
        <v>-29429.047431332023</v>
      </c>
      <c r="AB26" s="55">
        <f t="shared" si="12"/>
        <v>-19090.347355235011</v>
      </c>
      <c r="AC26" s="55">
        <f t="shared" si="13"/>
        <v>-3245.5701083208446</v>
      </c>
      <c r="AD26" s="55"/>
      <c r="AE26" s="120">
        <f t="shared" si="1"/>
        <v>-22335.917463555856</v>
      </c>
      <c r="AF26" s="44">
        <f t="shared" si="19"/>
        <v>7093.1299677761672</v>
      </c>
      <c r="AG26" s="74">
        <f t="shared" si="7"/>
        <v>-4022.7957316839493</v>
      </c>
    </row>
    <row r="27" spans="1:33" x14ac:dyDescent="0.3">
      <c r="A27" s="1"/>
      <c r="B27" s="1"/>
      <c r="C27" s="1"/>
      <c r="D27" s="1"/>
      <c r="E27" s="1"/>
      <c r="F27" s="2"/>
      <c r="G27" s="12">
        <f t="shared" si="8"/>
        <v>17</v>
      </c>
      <c r="H27" s="73"/>
      <c r="I27" s="9"/>
      <c r="J27" s="10"/>
      <c r="K27" s="12"/>
      <c r="L27" s="13">
        <f t="shared" si="18"/>
        <v>-649114.0216641688</v>
      </c>
      <c r="M27" s="13">
        <v>0</v>
      </c>
      <c r="N27" s="13">
        <f t="shared" si="11"/>
        <v>-3245.5701083208442</v>
      </c>
      <c r="O27" s="21">
        <f t="shared" si="0"/>
        <v>-652359.5917724896</v>
      </c>
      <c r="P27" s="12">
        <f t="shared" si="9"/>
        <v>17</v>
      </c>
      <c r="Q27" s="42">
        <f t="shared" si="14"/>
        <v>1274988.2654828834</v>
      </c>
      <c r="R27" s="42">
        <f t="shared" si="15"/>
        <v>19769.91320443587</v>
      </c>
      <c r="S27" s="42">
        <f t="shared" si="16"/>
        <v>-652359.5917724896</v>
      </c>
      <c r="T27" s="42">
        <f t="shared" si="17"/>
        <v>642398.58691482979</v>
      </c>
      <c r="U27" s="12"/>
      <c r="V27" s="117" t="s">
        <v>34</v>
      </c>
      <c r="W27" s="117">
        <f>VLOOKUP(U26,$P$10:$T$28,3,FALSE)</f>
        <v>134454.8082624361</v>
      </c>
      <c r="X27" s="117"/>
      <c r="Y27" s="44"/>
      <c r="Z27" s="36">
        <f t="shared" si="10"/>
        <v>17</v>
      </c>
      <c r="AA27" s="75">
        <f t="shared" si="6"/>
        <v>-19769.91320443587</v>
      </c>
      <c r="AB27" s="55">
        <f t="shared" si="12"/>
        <v>-12790.110612145669</v>
      </c>
      <c r="AC27" s="55">
        <f t="shared" si="13"/>
        <v>-3245.5701083208442</v>
      </c>
      <c r="AD27" s="55"/>
      <c r="AE27" s="120">
        <f t="shared" si="1"/>
        <v>-16035.680720466513</v>
      </c>
      <c r="AF27" s="44">
        <f t="shared" si="19"/>
        <v>3734.2324839693574</v>
      </c>
      <c r="AG27" s="74">
        <f t="shared" si="7"/>
        <v>-288.56324771459185</v>
      </c>
    </row>
    <row r="28" spans="1:33" ht="19.5" thickBot="1" x14ac:dyDescent="0.35">
      <c r="A28" s="1"/>
      <c r="B28" s="1"/>
      <c r="C28" s="1"/>
      <c r="D28" s="1"/>
      <c r="E28" s="1"/>
      <c r="F28" s="2"/>
      <c r="G28" s="12">
        <f t="shared" si="8"/>
        <v>18</v>
      </c>
      <c r="H28" s="73"/>
      <c r="I28" s="9"/>
      <c r="J28" s="10"/>
      <c r="K28" s="12"/>
      <c r="L28" s="13">
        <f t="shared" si="18"/>
        <v>-649114.02166416892</v>
      </c>
      <c r="M28" s="13">
        <v>0</v>
      </c>
      <c r="N28" s="13">
        <f t="shared" si="11"/>
        <v>-3245.5701083208446</v>
      </c>
      <c r="O28" s="22">
        <f t="shared" si="0"/>
        <v>-652359.59177248972</v>
      </c>
      <c r="P28" s="12">
        <f t="shared" si="9"/>
        <v>18</v>
      </c>
      <c r="Q28" s="42">
        <f t="shared" si="14"/>
        <v>642398.58691482979</v>
      </c>
      <c r="R28" s="42">
        <f t="shared" si="15"/>
        <v>9961.0048576787758</v>
      </c>
      <c r="S28" s="42">
        <f t="shared" si="16"/>
        <v>-652359.59177248972</v>
      </c>
      <c r="T28" s="116">
        <f t="shared" si="17"/>
        <v>1.885928213596344E-8</v>
      </c>
      <c r="U28" s="12"/>
      <c r="V28" s="117" t="s">
        <v>31</v>
      </c>
      <c r="W28" s="117"/>
      <c r="X28" s="117">
        <f>-VLOOKUP(U26,$P$10:$T$28,4,FALSE)</f>
        <v>652359.59177248972</v>
      </c>
      <c r="Y28" s="44"/>
      <c r="Z28" s="36">
        <f t="shared" si="10"/>
        <v>18</v>
      </c>
      <c r="AA28" s="75">
        <f t="shared" si="6"/>
        <v>-9961.0048576787758</v>
      </c>
      <c r="AB28" s="55">
        <f t="shared" si="12"/>
        <v>-6426.8715016254364</v>
      </c>
      <c r="AC28" s="55">
        <f t="shared" si="13"/>
        <v>-3245.5701083208446</v>
      </c>
      <c r="AD28" s="55"/>
      <c r="AE28" s="120">
        <f t="shared" si="1"/>
        <v>-9672.4416099462815</v>
      </c>
      <c r="AF28" s="44">
        <f t="shared" si="19"/>
        <v>288.56324773249435</v>
      </c>
      <c r="AG28" s="74">
        <f t="shared" si="7"/>
        <v>1.7902493709698319E-8</v>
      </c>
    </row>
    <row r="29" spans="1:33" ht="19.5" thickBot="1" x14ac:dyDescent="0.35">
      <c r="A29" s="1"/>
      <c r="B29" s="1"/>
      <c r="C29" s="1"/>
      <c r="D29" s="1"/>
      <c r="E29" s="1"/>
      <c r="F29" s="2"/>
      <c r="G29" s="15"/>
      <c r="H29" s="16"/>
      <c r="I29" s="16"/>
      <c r="J29" s="17"/>
      <c r="K29" s="15"/>
      <c r="L29" s="16"/>
      <c r="M29" s="16"/>
      <c r="N29" s="16"/>
      <c r="O29" s="17"/>
      <c r="P29" s="15"/>
      <c r="Q29" s="16"/>
      <c r="R29" s="66">
        <f>SUM(R11:R28)</f>
        <v>1505393.8765873644</v>
      </c>
      <c r="S29" s="16"/>
      <c r="T29" s="16"/>
      <c r="U29" s="12"/>
      <c r="V29" s="42"/>
      <c r="W29" s="42"/>
      <c r="X29" s="42"/>
      <c r="Y29" s="44"/>
      <c r="Z29" s="61"/>
      <c r="AA29" s="62">
        <f>SUM(AA11:AA28)</f>
        <v>-1505393.8765873644</v>
      </c>
      <c r="AB29" s="62"/>
      <c r="AC29" s="62"/>
      <c r="AD29" s="62"/>
      <c r="AE29" s="72">
        <f>SUM(AE10:AE28)</f>
        <v>-1505393.8765873464</v>
      </c>
      <c r="AF29" s="72">
        <f>SUM(AF10:AF28)</f>
        <v>1.7902493709698319E-8</v>
      </c>
      <c r="AG29" s="72"/>
    </row>
    <row r="30" spans="1:33" ht="19.5" thickBot="1" x14ac:dyDescent="0.35">
      <c r="A30" s="1"/>
      <c r="B30" s="1"/>
      <c r="C30" s="1"/>
      <c r="D30" s="1"/>
      <c r="E30" s="1"/>
      <c r="F30" s="2"/>
      <c r="U30" s="49">
        <f>+U26+1</f>
        <v>5</v>
      </c>
      <c r="V30" s="48" t="s">
        <v>32</v>
      </c>
      <c r="W30" s="48">
        <f>+X32-W31</f>
        <v>525935.39280689927</v>
      </c>
      <c r="X30" s="48"/>
      <c r="Y30" s="53">
        <f>+Y26-W30</f>
        <v>7627331.0625073481</v>
      </c>
      <c r="AD30" s="3"/>
      <c r="AE30" s="3"/>
      <c r="AF30" s="3"/>
      <c r="AG30" s="3"/>
    </row>
    <row r="31" spans="1:33" x14ac:dyDescent="0.3">
      <c r="A31" s="1"/>
      <c r="B31" s="1"/>
      <c r="C31" s="1"/>
      <c r="D31" s="1"/>
      <c r="E31" s="1"/>
      <c r="F31" s="2"/>
      <c r="U31" s="12"/>
      <c r="V31" s="48" t="s">
        <v>34</v>
      </c>
      <c r="W31" s="48">
        <f>VLOOKUP(U30,$P$10:$T$28,3,FALSE)</f>
        <v>126424.19896559049</v>
      </c>
      <c r="X31" s="48"/>
      <c r="Y31" s="44"/>
    </row>
    <row r="32" spans="1:33" x14ac:dyDescent="0.3">
      <c r="A32" s="1"/>
      <c r="B32" s="1"/>
      <c r="C32" s="1"/>
      <c r="D32" s="1"/>
      <c r="E32" s="1"/>
      <c r="F32" s="2"/>
      <c r="U32" s="12"/>
      <c r="V32" s="48" t="s">
        <v>31</v>
      </c>
      <c r="W32" s="48"/>
      <c r="X32" s="48">
        <f>-VLOOKUP(U30,$P$10:$T$28,4,FALSE)</f>
        <v>652359.59177248972</v>
      </c>
      <c r="Y32" s="44"/>
    </row>
    <row r="33" spans="1:25" ht="19.5" thickBot="1" x14ac:dyDescent="0.35">
      <c r="A33" s="1"/>
      <c r="B33" s="1"/>
      <c r="C33" s="1"/>
      <c r="D33" s="1"/>
      <c r="E33" s="1"/>
      <c r="F33" s="2"/>
      <c r="U33" s="12"/>
      <c r="V33" s="42"/>
      <c r="W33" s="42"/>
      <c r="X33" s="42"/>
      <c r="Y33" s="44"/>
    </row>
    <row r="34" spans="1:25" ht="19.5" thickBot="1" x14ac:dyDescent="0.35">
      <c r="A34" s="1"/>
      <c r="B34" s="1"/>
      <c r="C34" s="1"/>
      <c r="D34" s="1"/>
      <c r="E34" s="1"/>
      <c r="F34" s="2"/>
      <c r="J34" s="4" t="s">
        <v>96</v>
      </c>
      <c r="L34" s="4" t="s">
        <v>95</v>
      </c>
      <c r="U34" s="49">
        <f>+U30+1</f>
        <v>6</v>
      </c>
      <c r="V34" s="48" t="s">
        <v>32</v>
      </c>
      <c r="W34" s="48">
        <f>+X36-W35</f>
        <v>534090.52438608697</v>
      </c>
      <c r="X34" s="48"/>
      <c r="Y34" s="53">
        <f>+Y30-W34</f>
        <v>7093240.5381212607</v>
      </c>
    </row>
    <row r="35" spans="1:25" ht="19.5" thickBot="1" x14ac:dyDescent="0.35">
      <c r="A35" s="1"/>
      <c r="B35" s="1"/>
      <c r="C35" s="1"/>
      <c r="D35" s="1"/>
      <c r="E35" s="1"/>
      <c r="F35" s="2"/>
      <c r="I35" s="122"/>
      <c r="J35" s="123">
        <v>2000</v>
      </c>
      <c r="K35" s="124" t="s">
        <v>94</v>
      </c>
      <c r="L35" s="123">
        <f>+J35/3.75</f>
        <v>533.33333333333337</v>
      </c>
      <c r="U35" s="12"/>
      <c r="V35" s="48" t="s">
        <v>34</v>
      </c>
      <c r="W35" s="48">
        <f>VLOOKUP(U34,$P$10:$T$28,3,FALSE)</f>
        <v>118269.06738640275</v>
      </c>
      <c r="X35" s="48"/>
      <c r="Y35" s="44"/>
    </row>
    <row r="36" spans="1:25" x14ac:dyDescent="0.3">
      <c r="A36" s="1"/>
      <c r="B36" s="1"/>
      <c r="C36" s="1"/>
      <c r="D36" s="1"/>
      <c r="E36" s="1"/>
      <c r="F36" s="2"/>
      <c r="J36" s="4">
        <v>1500</v>
      </c>
      <c r="L36" s="4">
        <f>+J36/3.75</f>
        <v>400</v>
      </c>
      <c r="U36" s="12"/>
      <c r="V36" s="48" t="s">
        <v>31</v>
      </c>
      <c r="W36" s="48"/>
      <c r="X36" s="48">
        <f>-VLOOKUP(U34,$P$10:$T$28,4,FALSE)</f>
        <v>652359.59177248972</v>
      </c>
      <c r="Y36" s="44"/>
    </row>
    <row r="37" spans="1:25" ht="19.5" thickBot="1" x14ac:dyDescent="0.35">
      <c r="A37" s="1"/>
      <c r="B37" s="1"/>
      <c r="C37" s="1"/>
      <c r="D37" s="1"/>
      <c r="E37" s="1"/>
      <c r="F37" s="2"/>
      <c r="J37" s="121">
        <f>+J36/J35</f>
        <v>0.75</v>
      </c>
      <c r="L37" s="121">
        <f>+L36/L35</f>
        <v>0.75</v>
      </c>
      <c r="U37" s="12"/>
      <c r="V37" s="42"/>
      <c r="W37" s="42"/>
      <c r="X37" s="42"/>
      <c r="Y37" s="44"/>
    </row>
    <row r="38" spans="1:25" ht="19.5" thickBot="1" x14ac:dyDescent="0.35">
      <c r="A38" s="1"/>
      <c r="B38" s="1"/>
      <c r="C38" s="1"/>
      <c r="D38" s="1"/>
      <c r="E38" s="1"/>
      <c r="F38" s="2"/>
      <c r="U38" s="49">
        <f>+U34+1</f>
        <v>7</v>
      </c>
      <c r="V38" s="48" t="s">
        <v>32</v>
      </c>
      <c r="W38" s="48">
        <f>+X40-W39</f>
        <v>542372.10908477101</v>
      </c>
      <c r="X38" s="48"/>
      <c r="Y38" s="53">
        <f>+Y34-W38</f>
        <v>6550868.4290364897</v>
      </c>
    </row>
    <row r="39" spans="1:25" x14ac:dyDescent="0.3">
      <c r="A39" s="1"/>
      <c r="B39" s="1"/>
      <c r="C39" s="1"/>
      <c r="D39" s="1"/>
      <c r="E39" s="1"/>
      <c r="F39" s="2"/>
      <c r="U39" s="12"/>
      <c r="V39" s="48" t="s">
        <v>34</v>
      </c>
      <c r="W39" s="48">
        <f>VLOOKUP(U38,$P$10:$T$28,3,FALSE)</f>
        <v>109987.48268771883</v>
      </c>
      <c r="X39" s="48"/>
      <c r="Y39" s="44"/>
    </row>
    <row r="40" spans="1:25" x14ac:dyDescent="0.3">
      <c r="U40" s="12"/>
      <c r="V40" s="48" t="s">
        <v>31</v>
      </c>
      <c r="W40" s="48"/>
      <c r="X40" s="48">
        <f>-VLOOKUP(U38,$P$10:$T$28,4,FALSE)</f>
        <v>652359.59177248983</v>
      </c>
      <c r="Y40" s="44"/>
    </row>
    <row r="41" spans="1:25" ht="19.5" thickBot="1" x14ac:dyDescent="0.35">
      <c r="U41" s="12"/>
      <c r="V41" s="42"/>
      <c r="W41" s="42"/>
      <c r="X41" s="42"/>
      <c r="Y41" s="44"/>
    </row>
    <row r="42" spans="1:25" ht="19.5" thickBot="1" x14ac:dyDescent="0.35">
      <c r="U42" s="49">
        <f>+U38+1</f>
        <v>8</v>
      </c>
      <c r="V42" s="48" t="s">
        <v>32</v>
      </c>
      <c r="W42" s="48">
        <f>+X44-W43</f>
        <v>550782.1076795829</v>
      </c>
      <c r="X42" s="48"/>
      <c r="Y42" s="53">
        <f>+Y38-W42</f>
        <v>6000086.3213569066</v>
      </c>
    </row>
    <row r="43" spans="1:25" x14ac:dyDescent="0.3">
      <c r="U43" s="12"/>
      <c r="V43" s="48" t="s">
        <v>34</v>
      </c>
      <c r="W43" s="48">
        <f>VLOOKUP(U42,$P$10:$T$28,3,FALSE)</f>
        <v>101577.4840929069</v>
      </c>
      <c r="X43" s="48"/>
      <c r="Y43" s="44"/>
    </row>
    <row r="44" spans="1:25" x14ac:dyDescent="0.3">
      <c r="U44" s="12"/>
      <c r="V44" s="48" t="s">
        <v>31</v>
      </c>
      <c r="W44" s="48"/>
      <c r="X44" s="48">
        <f>-VLOOKUP(U42,$P$10:$T$28,4,FALSE)</f>
        <v>652359.59177248983</v>
      </c>
      <c r="Y44" s="44"/>
    </row>
    <row r="45" spans="1:25" ht="19.5" thickBot="1" x14ac:dyDescent="0.35">
      <c r="U45" s="12"/>
      <c r="V45" s="42"/>
      <c r="W45" s="42"/>
      <c r="X45" s="42"/>
      <c r="Y45" s="44"/>
    </row>
    <row r="46" spans="1:25" ht="19.5" thickBot="1" x14ac:dyDescent="0.35">
      <c r="U46" s="49">
        <f>+U42+1</f>
        <v>9</v>
      </c>
      <c r="V46" s="48" t="s">
        <v>32</v>
      </c>
      <c r="W46" s="48">
        <f>+X48-W47</f>
        <v>559322.51135087269</v>
      </c>
      <c r="X46" s="48"/>
      <c r="Y46" s="53">
        <f>+Y42-W46</f>
        <v>5440763.8100060336</v>
      </c>
    </row>
    <row r="47" spans="1:25" x14ac:dyDescent="0.3">
      <c r="U47" s="12"/>
      <c r="V47" s="48" t="s">
        <v>34</v>
      </c>
      <c r="W47" s="48">
        <f>VLOOKUP(U46,$P$10:$T$28,3,FALSE)</f>
        <v>93037.080421616964</v>
      </c>
      <c r="X47" s="48"/>
      <c r="Y47" s="44"/>
    </row>
    <row r="48" spans="1:25" x14ac:dyDescent="0.3">
      <c r="U48" s="12"/>
      <c r="V48" s="48" t="s">
        <v>31</v>
      </c>
      <c r="W48" s="48"/>
      <c r="X48" s="48">
        <f>-VLOOKUP(U46,$P$10:$T$28,4,FALSE)</f>
        <v>652359.59177248972</v>
      </c>
      <c r="Y48" s="44"/>
    </row>
    <row r="49" spans="21:25" ht="19.5" thickBot="1" x14ac:dyDescent="0.35">
      <c r="U49" s="12"/>
      <c r="V49" s="42"/>
      <c r="W49" s="42"/>
      <c r="X49" s="42"/>
      <c r="Y49" s="44"/>
    </row>
    <row r="50" spans="21:25" ht="19.5" thickBot="1" x14ac:dyDescent="0.35">
      <c r="U50" s="49">
        <f>+U46+1</f>
        <v>10</v>
      </c>
      <c r="V50" s="48" t="s">
        <v>32</v>
      </c>
      <c r="W50" s="48">
        <f>+X52-W51</f>
        <v>567995.34215414757</v>
      </c>
      <c r="X50" s="48"/>
      <c r="Y50" s="54">
        <f>+Y46-W50</f>
        <v>4872768.4678518865</v>
      </c>
    </row>
    <row r="51" spans="21:25" x14ac:dyDescent="0.3">
      <c r="U51" s="12"/>
      <c r="V51" s="48" t="s">
        <v>34</v>
      </c>
      <c r="W51" s="48">
        <f>VLOOKUP(U50,$P$10:$T$28,3,FALSE)</f>
        <v>84364.249618342175</v>
      </c>
      <c r="X51" s="48"/>
      <c r="Y51" s="44"/>
    </row>
    <row r="52" spans="21:25" x14ac:dyDescent="0.3">
      <c r="U52" s="12"/>
      <c r="V52" s="48" t="s">
        <v>31</v>
      </c>
      <c r="W52" s="48"/>
      <c r="X52" s="48">
        <f>-VLOOKUP(U50,$P$10:$T$28,4,FALSE)</f>
        <v>652359.59177248972</v>
      </c>
      <c r="Y52" s="44"/>
    </row>
    <row r="53" spans="21:25" ht="19.5" thickBot="1" x14ac:dyDescent="0.35">
      <c r="U53" s="12"/>
      <c r="V53" s="42"/>
      <c r="W53" s="42"/>
      <c r="X53" s="42"/>
      <c r="Y53" s="44"/>
    </row>
    <row r="54" spans="21:25" ht="19.5" thickBot="1" x14ac:dyDescent="0.35">
      <c r="U54" s="49">
        <f>+U50+1</f>
        <v>11</v>
      </c>
      <c r="V54" s="48" t="s">
        <v>32</v>
      </c>
      <c r="W54" s="48">
        <f>+X56-W55</f>
        <v>576802.6534988198</v>
      </c>
      <c r="X54" s="48"/>
      <c r="Y54" s="54">
        <f>+Y50-W54</f>
        <v>4295965.8143530665</v>
      </c>
    </row>
    <row r="55" spans="21:25" x14ac:dyDescent="0.3">
      <c r="U55" s="12"/>
      <c r="V55" s="48" t="s">
        <v>34</v>
      </c>
      <c r="W55" s="48">
        <f>VLOOKUP(U54,$P$10:$T$28,3,FALSE)</f>
        <v>75556.938273669963</v>
      </c>
      <c r="X55" s="48"/>
      <c r="Y55" s="44"/>
    </row>
    <row r="56" spans="21:25" x14ac:dyDescent="0.3">
      <c r="U56" s="12"/>
      <c r="V56" s="48" t="s">
        <v>31</v>
      </c>
      <c r="W56" s="48"/>
      <c r="X56" s="48">
        <f>-VLOOKUP(U54,$P$10:$T$28,4,FALSE)</f>
        <v>652359.59177248972</v>
      </c>
      <c r="Y56" s="44"/>
    </row>
    <row r="57" spans="21:25" ht="19.5" thickBot="1" x14ac:dyDescent="0.35">
      <c r="U57" s="12"/>
      <c r="V57" s="42"/>
      <c r="W57" s="42"/>
      <c r="X57" s="42"/>
      <c r="Y57" s="44"/>
    </row>
    <row r="58" spans="21:25" ht="19.5" thickBot="1" x14ac:dyDescent="0.35">
      <c r="U58" s="49">
        <f>+U54+1</f>
        <v>12</v>
      </c>
      <c r="V58" s="48" t="s">
        <v>32</v>
      </c>
      <c r="W58" s="48">
        <f>+X60-W59</f>
        <v>585746.53063437995</v>
      </c>
      <c r="X58" s="48"/>
      <c r="Y58" s="54">
        <f>+Y54-W58</f>
        <v>3710219.2837186866</v>
      </c>
    </row>
    <row r="59" spans="21:25" x14ac:dyDescent="0.3">
      <c r="U59" s="12"/>
      <c r="V59" s="48" t="s">
        <v>34</v>
      </c>
      <c r="W59" s="48">
        <f>VLOOKUP(U58,$P$10:$T$28,3,FALSE)</f>
        <v>66613.061138109741</v>
      </c>
      <c r="X59" s="48"/>
      <c r="Y59" s="44"/>
    </row>
    <row r="60" spans="21:25" x14ac:dyDescent="0.3">
      <c r="U60" s="12"/>
      <c r="V60" s="48" t="s">
        <v>31</v>
      </c>
      <c r="W60" s="48"/>
      <c r="X60" s="48">
        <f>-VLOOKUP(U58,$P$10:$T$28,4,FALSE)</f>
        <v>652359.59177248972</v>
      </c>
      <c r="Y60" s="44"/>
    </row>
    <row r="61" spans="21:25" ht="19.5" thickBot="1" x14ac:dyDescent="0.35">
      <c r="U61" s="12"/>
      <c r="V61" s="42"/>
      <c r="W61" s="42"/>
      <c r="X61" s="42"/>
      <c r="Y61" s="44"/>
    </row>
    <row r="62" spans="21:25" ht="19.5" thickBot="1" x14ac:dyDescent="0.35">
      <c r="U62" s="49">
        <f>+U58+1</f>
        <v>13</v>
      </c>
      <c r="V62" s="48" t="s">
        <v>32</v>
      </c>
      <c r="W62" s="48">
        <f>+X64-W63</f>
        <v>594829.09114410775</v>
      </c>
      <c r="X62" s="48"/>
      <c r="Y62" s="54">
        <f>+Y58-W62</f>
        <v>3115390.1925745788</v>
      </c>
    </row>
    <row r="63" spans="21:25" x14ac:dyDescent="0.3">
      <c r="U63" s="12"/>
      <c r="V63" s="48" t="s">
        <v>34</v>
      </c>
      <c r="W63" s="48">
        <f>VLOOKUP(U62,$P$10:$T$28,3,FALSE)</f>
        <v>57530.500628381975</v>
      </c>
      <c r="X63" s="48"/>
      <c r="Y63" s="44"/>
    </row>
    <row r="64" spans="21:25" x14ac:dyDescent="0.3">
      <c r="U64" s="12"/>
      <c r="V64" s="48" t="s">
        <v>31</v>
      </c>
      <c r="W64" s="48"/>
      <c r="X64" s="48">
        <f>-VLOOKUP(U62,$P$10:$T$28,4,FALSE)</f>
        <v>652359.59177248972</v>
      </c>
      <c r="Y64" s="44"/>
    </row>
    <row r="65" spans="21:25" ht="19.5" thickBot="1" x14ac:dyDescent="0.35">
      <c r="U65" s="12"/>
      <c r="V65" s="42"/>
      <c r="W65" s="42"/>
      <c r="X65" s="42"/>
      <c r="Y65" s="44"/>
    </row>
    <row r="66" spans="21:25" ht="19.5" thickBot="1" x14ac:dyDescent="0.35">
      <c r="U66" s="49">
        <f>+U62+1</f>
        <v>14</v>
      </c>
      <c r="V66" s="48" t="s">
        <v>32</v>
      </c>
      <c r="W66" s="48">
        <f>+X68-W67</f>
        <v>604052.48544643773</v>
      </c>
      <c r="X66" s="48"/>
      <c r="Y66" s="54">
        <f>+Y62-W66</f>
        <v>2511337.7071281411</v>
      </c>
    </row>
    <row r="67" spans="21:25" x14ac:dyDescent="0.3">
      <c r="U67" s="12"/>
      <c r="V67" s="48" t="s">
        <v>34</v>
      </c>
      <c r="W67" s="48">
        <f>VLOOKUP(U66,$P$10:$T$28,3,FALSE)</f>
        <v>48307.106326051937</v>
      </c>
      <c r="X67" s="48"/>
      <c r="Y67" s="44"/>
    </row>
    <row r="68" spans="21:25" x14ac:dyDescent="0.3">
      <c r="U68" s="12"/>
      <c r="V68" s="48" t="s">
        <v>31</v>
      </c>
      <c r="W68" s="48"/>
      <c r="X68" s="48">
        <f>-VLOOKUP(U66,$P$10:$T$28,4,FALSE)</f>
        <v>652359.59177248972</v>
      </c>
      <c r="Y68" s="44"/>
    </row>
    <row r="69" spans="21:25" ht="19.5" thickBot="1" x14ac:dyDescent="0.35">
      <c r="U69" s="12"/>
      <c r="V69" s="13"/>
      <c r="W69" s="13"/>
      <c r="X69" s="13"/>
      <c r="Y69" s="14"/>
    </row>
    <row r="70" spans="21:25" ht="19.5" thickBot="1" x14ac:dyDescent="0.35">
      <c r="U70" s="49">
        <f>+U66+1</f>
        <v>15</v>
      </c>
      <c r="V70" s="48" t="s">
        <v>32</v>
      </c>
      <c r="W70" s="48">
        <f>+X72-W71</f>
        <v>613418.89730410068</v>
      </c>
      <c r="X70" s="48"/>
      <c r="Y70" s="54">
        <f>+Y66-W70</f>
        <v>1897918.8098240404</v>
      </c>
    </row>
    <row r="71" spans="21:25" x14ac:dyDescent="0.3">
      <c r="U71" s="12"/>
      <c r="V71" s="48" t="s">
        <v>34</v>
      </c>
      <c r="W71" s="48">
        <f>VLOOKUP(U70,$P$10:$T$28,3,FALSE)</f>
        <v>38940.694468389112</v>
      </c>
      <c r="X71" s="48"/>
      <c r="Y71" s="44"/>
    </row>
    <row r="72" spans="21:25" x14ac:dyDescent="0.3">
      <c r="U72" s="12"/>
      <c r="V72" s="48" t="s">
        <v>31</v>
      </c>
      <c r="W72" s="48"/>
      <c r="X72" s="48">
        <f>-VLOOKUP(U70,$P$10:$T$28,4,FALSE)</f>
        <v>652359.59177248983</v>
      </c>
      <c r="Y72" s="44"/>
    </row>
    <row r="73" spans="21:25" ht="19.5" thickBot="1" x14ac:dyDescent="0.35">
      <c r="U73" s="12"/>
      <c r="V73" s="13"/>
      <c r="W73" s="13"/>
      <c r="X73" s="13"/>
      <c r="Y73" s="14"/>
    </row>
    <row r="74" spans="21:25" ht="19.5" thickBot="1" x14ac:dyDescent="0.35">
      <c r="U74" s="49">
        <f>+U70+1</f>
        <v>16</v>
      </c>
      <c r="V74" s="48" t="s">
        <v>32</v>
      </c>
      <c r="W74" s="48">
        <f>+X76-W75</f>
        <v>622930.54434115766</v>
      </c>
      <c r="X74" s="48"/>
      <c r="Y74" s="54">
        <f>+Y70-W74</f>
        <v>1274988.2654828827</v>
      </c>
    </row>
    <row r="75" spans="21:25" x14ac:dyDescent="0.3">
      <c r="U75" s="12"/>
      <c r="V75" s="48" t="s">
        <v>34</v>
      </c>
      <c r="W75" s="48">
        <f>VLOOKUP(U74,$P$10:$T$28,3,FALSE)</f>
        <v>29429.047431332023</v>
      </c>
      <c r="X75" s="48"/>
      <c r="Y75" s="44"/>
    </row>
    <row r="76" spans="21:25" x14ac:dyDescent="0.3">
      <c r="U76" s="12"/>
      <c r="V76" s="48" t="s">
        <v>31</v>
      </c>
      <c r="W76" s="48"/>
      <c r="X76" s="48">
        <f>-VLOOKUP(U74,$P$10:$T$28,4,FALSE)</f>
        <v>652359.59177248972</v>
      </c>
      <c r="Y76" s="44"/>
    </row>
    <row r="77" spans="21:25" ht="19.5" thickBot="1" x14ac:dyDescent="0.35">
      <c r="U77" s="12"/>
      <c r="V77" s="13"/>
      <c r="W77" s="13"/>
      <c r="X77" s="13"/>
      <c r="Y77" s="14"/>
    </row>
    <row r="78" spans="21:25" ht="19.5" thickBot="1" x14ac:dyDescent="0.35">
      <c r="U78" s="49">
        <f>+U74+1</f>
        <v>17</v>
      </c>
      <c r="V78" s="48" t="s">
        <v>32</v>
      </c>
      <c r="W78" s="48">
        <f>+X80-W79</f>
        <v>632589.67856805376</v>
      </c>
      <c r="X78" s="48"/>
      <c r="Y78" s="54">
        <f>+Y74-W78</f>
        <v>642398.58691482898</v>
      </c>
    </row>
    <row r="79" spans="21:25" x14ac:dyDescent="0.3">
      <c r="U79" s="12"/>
      <c r="V79" s="48" t="s">
        <v>34</v>
      </c>
      <c r="W79" s="48">
        <f>VLOOKUP(U78,$P$10:$T$28,3,FALSE)</f>
        <v>19769.91320443587</v>
      </c>
      <c r="X79" s="48"/>
      <c r="Y79" s="44"/>
    </row>
    <row r="80" spans="21:25" x14ac:dyDescent="0.3">
      <c r="U80" s="12"/>
      <c r="V80" s="48" t="s">
        <v>31</v>
      </c>
      <c r="W80" s="48"/>
      <c r="X80" s="48">
        <f>-VLOOKUP(U78,$P$10:$T$28,4,FALSE)</f>
        <v>652359.5917724896</v>
      </c>
      <c r="Y80" s="44"/>
    </row>
    <row r="81" spans="21:25" ht="19.5" thickBot="1" x14ac:dyDescent="0.35">
      <c r="U81" s="12"/>
      <c r="V81" s="13"/>
      <c r="W81" s="13"/>
      <c r="X81" s="13"/>
      <c r="Y81" s="14"/>
    </row>
    <row r="82" spans="21:25" ht="19.5" thickBot="1" x14ac:dyDescent="0.35">
      <c r="U82" s="49">
        <f>+U78+1</f>
        <v>18</v>
      </c>
      <c r="V82" s="48" t="s">
        <v>32</v>
      </c>
      <c r="W82" s="48">
        <f>+X84-W83</f>
        <v>642398.58691481093</v>
      </c>
      <c r="X82" s="48"/>
      <c r="Y82" s="54">
        <f>+Y78-W82</f>
        <v>1.8044374883174896E-8</v>
      </c>
    </row>
    <row r="83" spans="21:25" x14ac:dyDescent="0.3">
      <c r="U83" s="12"/>
      <c r="V83" s="48" t="s">
        <v>34</v>
      </c>
      <c r="W83" s="48">
        <f>VLOOKUP(U82,$P$10:$T$28,3,FALSE)</f>
        <v>9961.0048576787758</v>
      </c>
      <c r="X83" s="48"/>
      <c r="Y83" s="44"/>
    </row>
    <row r="84" spans="21:25" ht="19.5" thickBot="1" x14ac:dyDescent="0.35">
      <c r="U84" s="15"/>
      <c r="V84" s="60" t="s">
        <v>31</v>
      </c>
      <c r="W84" s="60"/>
      <c r="X84" s="60">
        <f>-VLOOKUP(U82,$P$10:$T$28,4,FALSE)</f>
        <v>652359.59177248972</v>
      </c>
      <c r="Y84" s="4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2024-07-02T03:25:43Z</dcterms:created>
  <dcterms:modified xsi:type="dcterms:W3CDTF">2024-07-02T21:47:26Z</dcterms:modified>
</cp:coreProperties>
</file>