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13B861CF-3C40-4A91-9365-11F3EE5FB25F}" xr6:coauthVersionLast="47" xr6:coauthVersionMax="47" xr10:uidLastSave="{00000000-0000-0000-0000-000000000000}"/>
  <bookViews>
    <workbookView xWindow="-120" yWindow="-120" windowWidth="29040" windowHeight="15720" xr2:uid="{42A5CB0E-32DE-415E-B1EC-D27AA2684775}"/>
  </bookViews>
  <sheets>
    <sheet name="Hoja3 (4)" sheetId="5" r:id="rId1"/>
    <sheet name="Hoja3 (3)" sheetId="4" r:id="rId2"/>
    <sheet name="Hoja3" sheetId="1" r:id="rId3"/>
    <sheet name="Hoja3 (2)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5" l="1"/>
  <c r="F96" i="5"/>
  <c r="A91" i="5"/>
  <c r="A92" i="5" s="1"/>
  <c r="A93" i="5" s="1"/>
  <c r="A94" i="5" s="1"/>
  <c r="A95" i="5" s="1"/>
  <c r="A90" i="5"/>
  <c r="F89" i="5"/>
  <c r="A27" i="5"/>
  <c r="A28" i="5" s="1"/>
  <c r="A29" i="5" s="1"/>
  <c r="A30" i="5" s="1"/>
  <c r="A31" i="5" s="1"/>
  <c r="E19" i="5"/>
  <c r="D25" i="5" s="1"/>
  <c r="E50" i="5" s="1"/>
  <c r="D49" i="5" s="1"/>
  <c r="A36" i="5"/>
  <c r="A11" i="5"/>
  <c r="A12" i="5" s="1"/>
  <c r="B25" i="5"/>
  <c r="D46" i="5" s="1"/>
  <c r="E47" i="5" s="1"/>
  <c r="D5" i="5"/>
  <c r="B4" i="5"/>
  <c r="D70" i="4"/>
  <c r="D71" i="4"/>
  <c r="D72" i="4"/>
  <c r="D73" i="4"/>
  <c r="D69" i="4"/>
  <c r="D74" i="4" s="1"/>
  <c r="D68" i="4"/>
  <c r="C74" i="4"/>
  <c r="C73" i="4"/>
  <c r="C72" i="4"/>
  <c r="C71" i="4"/>
  <c r="C70" i="4"/>
  <c r="C69" i="4"/>
  <c r="C68" i="4"/>
  <c r="C67" i="4"/>
  <c r="D5" i="4"/>
  <c r="F9" i="4"/>
  <c r="B21" i="4" s="1"/>
  <c r="A21" i="4"/>
  <c r="A22" i="4" s="1"/>
  <c r="A23" i="4" s="1"/>
  <c r="A11" i="4"/>
  <c r="A12" i="4" s="1"/>
  <c r="A13" i="4" s="1"/>
  <c r="A14" i="4" s="1"/>
  <c r="A15" i="4" s="1"/>
  <c r="B15" i="4" s="1"/>
  <c r="B4" i="4"/>
  <c r="D41" i="2"/>
  <c r="D40" i="2"/>
  <c r="D39" i="2"/>
  <c r="D38" i="2"/>
  <c r="D37" i="2"/>
  <c r="D36" i="2"/>
  <c r="D35" i="2"/>
  <c r="D34" i="2"/>
  <c r="D33" i="2"/>
  <c r="D32" i="2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D31" i="2"/>
  <c r="B31" i="2"/>
  <c r="D47" i="2" s="1"/>
  <c r="E48" i="2" s="1"/>
  <c r="A31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14" i="2"/>
  <c r="B13" i="2"/>
  <c r="B8" i="2"/>
  <c r="B25" i="2" s="1"/>
  <c r="D30" i="1"/>
  <c r="D29" i="1"/>
  <c r="D28" i="1"/>
  <c r="A2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B10" i="1"/>
  <c r="B28" i="1" s="1"/>
  <c r="B5" i="1"/>
  <c r="B14" i="1" s="1"/>
  <c r="F49" i="5" l="1"/>
  <c r="D52" i="5"/>
  <c r="E53" i="5" s="1"/>
  <c r="F25" i="5"/>
  <c r="A13" i="5"/>
  <c r="A37" i="5"/>
  <c r="D31" i="4"/>
  <c r="E32" i="4" s="1"/>
  <c r="C15" i="4"/>
  <c r="C14" i="4"/>
  <c r="C13" i="4"/>
  <c r="C12" i="4"/>
  <c r="C10" i="4"/>
  <c r="C11" i="4"/>
  <c r="B13" i="4"/>
  <c r="B10" i="4"/>
  <c r="D10" i="4" s="1"/>
  <c r="B14" i="4"/>
  <c r="B12" i="4"/>
  <c r="B11" i="4"/>
  <c r="A24" i="4"/>
  <c r="A25" i="4" s="1"/>
  <c r="A26" i="4" s="1"/>
  <c r="D31" i="1"/>
  <c r="B15" i="1"/>
  <c r="B26" i="2"/>
  <c r="C31" i="2" s="1"/>
  <c r="D42" i="2"/>
  <c r="D44" i="1"/>
  <c r="E45" i="1" s="1"/>
  <c r="D98" i="2"/>
  <c r="E99" i="2" s="1"/>
  <c r="D63" i="2"/>
  <c r="E64" i="2" s="1"/>
  <c r="D50" i="1"/>
  <c r="E51" i="1" s="1"/>
  <c r="D88" i="2"/>
  <c r="E89" i="2" s="1"/>
  <c r="D53" i="2"/>
  <c r="E54" i="2" s="1"/>
  <c r="D78" i="2"/>
  <c r="E79" i="2" s="1"/>
  <c r="D103" i="2"/>
  <c r="E104" i="2" s="1"/>
  <c r="D68" i="2"/>
  <c r="E69" i="2" s="1"/>
  <c r="D93" i="2"/>
  <c r="E94" i="2" s="1"/>
  <c r="D58" i="2"/>
  <c r="E59" i="2" s="1"/>
  <c r="D83" i="2"/>
  <c r="E84" i="2" s="1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D108" i="2"/>
  <c r="E109" i="2" s="1"/>
  <c r="D73" i="2"/>
  <c r="E74" i="2" s="1"/>
  <c r="B36" i="5" l="1"/>
  <c r="A38" i="5"/>
  <c r="A14" i="5"/>
  <c r="D13" i="4"/>
  <c r="F10" i="4"/>
  <c r="D21" i="4"/>
  <c r="F13" i="4"/>
  <c r="D24" i="4"/>
  <c r="D12" i="4"/>
  <c r="D14" i="4"/>
  <c r="D11" i="4"/>
  <c r="D15" i="4"/>
  <c r="C16" i="4"/>
  <c r="B16" i="4"/>
  <c r="D52" i="4"/>
  <c r="E53" i="4" s="1"/>
  <c r="E31" i="2"/>
  <c r="B32" i="2" s="1"/>
  <c r="D51" i="2"/>
  <c r="E52" i="2" s="1"/>
  <c r="F52" i="2" s="1"/>
  <c r="D60" i="1"/>
  <c r="E61" i="1" s="1"/>
  <c r="D65" i="1"/>
  <c r="E66" i="1" s="1"/>
  <c r="D32" i="1"/>
  <c r="D70" i="1" s="1"/>
  <c r="E71" i="1" s="1"/>
  <c r="B16" i="1"/>
  <c r="D55" i="1"/>
  <c r="E56" i="1" s="1"/>
  <c r="A15" i="5" l="1"/>
  <c r="B14" i="5" s="1"/>
  <c r="A39" i="5"/>
  <c r="F15" i="4"/>
  <c r="D26" i="4"/>
  <c r="F11" i="4"/>
  <c r="D22" i="4"/>
  <c r="D42" i="4" s="1"/>
  <c r="E43" i="4" s="1"/>
  <c r="F14" i="4"/>
  <c r="D25" i="4"/>
  <c r="D57" i="4" s="1"/>
  <c r="E58" i="4" s="1"/>
  <c r="F12" i="4"/>
  <c r="D23" i="4"/>
  <c r="D47" i="4" s="1"/>
  <c r="E48" i="4" s="1"/>
  <c r="D16" i="4"/>
  <c r="B17" i="1"/>
  <c r="D33" i="1"/>
  <c r="D75" i="1" s="1"/>
  <c r="E76" i="1" s="1"/>
  <c r="C32" i="2"/>
  <c r="D56" i="2" s="1"/>
  <c r="E57" i="2" s="1"/>
  <c r="F57" i="2" s="1"/>
  <c r="A40" i="5" l="1"/>
  <c r="A41" i="5" s="1"/>
  <c r="C15" i="5"/>
  <c r="B95" i="5" s="1"/>
  <c r="B15" i="5"/>
  <c r="C10" i="5"/>
  <c r="B90" i="5" s="1"/>
  <c r="B10" i="5"/>
  <c r="C12" i="5"/>
  <c r="B92" i="5" s="1"/>
  <c r="B12" i="5"/>
  <c r="B11" i="5"/>
  <c r="C11" i="5"/>
  <c r="B91" i="5" s="1"/>
  <c r="B13" i="5"/>
  <c r="C13" i="5"/>
  <c r="B93" i="5" s="1"/>
  <c r="C14" i="5"/>
  <c r="B94" i="5" s="1"/>
  <c r="F8" i="4"/>
  <c r="C21" i="4"/>
  <c r="D35" i="4" s="1"/>
  <c r="E36" i="4" s="1"/>
  <c r="D62" i="4"/>
  <c r="E63" i="4" s="1"/>
  <c r="D37" i="4"/>
  <c r="E38" i="4" s="1"/>
  <c r="E32" i="2"/>
  <c r="B33" i="2" s="1"/>
  <c r="B18" i="1"/>
  <c r="D34" i="1"/>
  <c r="D80" i="1" s="1"/>
  <c r="E81" i="1" s="1"/>
  <c r="D15" i="5" l="1"/>
  <c r="C31" i="5" s="1"/>
  <c r="D11" i="5"/>
  <c r="C27" i="5" s="1"/>
  <c r="D12" i="5"/>
  <c r="C28" i="5" s="1"/>
  <c r="C16" i="5"/>
  <c r="B16" i="5"/>
  <c r="D10" i="5"/>
  <c r="D13" i="5"/>
  <c r="C29" i="5" s="1"/>
  <c r="D14" i="5"/>
  <c r="C30" i="5" s="1"/>
  <c r="G20" i="4"/>
  <c r="E21" i="4"/>
  <c r="B22" i="4" s="1"/>
  <c r="F36" i="4"/>
  <c r="B19" i="1"/>
  <c r="D35" i="1"/>
  <c r="D85" i="1" s="1"/>
  <c r="E86" i="1" s="1"/>
  <c r="C33" i="2"/>
  <c r="D61" i="2" s="1"/>
  <c r="E62" i="2" s="1"/>
  <c r="F62" i="2" s="1"/>
  <c r="E33" i="2"/>
  <c r="B34" i="2" s="1"/>
  <c r="C26" i="5" l="1"/>
  <c r="E20" i="5"/>
  <c r="E26" i="5" s="1"/>
  <c r="D16" i="5"/>
  <c r="C22" i="4"/>
  <c r="B20" i="1"/>
  <c r="D36" i="1"/>
  <c r="D90" i="1" s="1"/>
  <c r="E91" i="1" s="1"/>
  <c r="C34" i="2"/>
  <c r="D66" i="2" s="1"/>
  <c r="E67" i="2" s="1"/>
  <c r="F67" i="2" s="1"/>
  <c r="E27" i="5" l="1"/>
  <c r="C90" i="5"/>
  <c r="F90" i="5" s="1"/>
  <c r="F27" i="5"/>
  <c r="F26" i="5"/>
  <c r="G21" i="4"/>
  <c r="D40" i="4"/>
  <c r="E41" i="4" s="1"/>
  <c r="F41" i="4" s="1"/>
  <c r="E22" i="4"/>
  <c r="B23" i="4" s="1"/>
  <c r="C23" i="4" s="1"/>
  <c r="E34" i="2"/>
  <c r="B35" i="2" s="1"/>
  <c r="B21" i="1"/>
  <c r="D37" i="1"/>
  <c r="D95" i="1" s="1"/>
  <c r="E96" i="1" s="1"/>
  <c r="D36" i="5" l="1"/>
  <c r="D37" i="5" s="1"/>
  <c r="E28" i="5"/>
  <c r="C91" i="5"/>
  <c r="F91" i="5" s="1"/>
  <c r="E23" i="4"/>
  <c r="B24" i="4" s="1"/>
  <c r="C24" i="4" s="1"/>
  <c r="G22" i="4"/>
  <c r="B22" i="1"/>
  <c r="D38" i="1"/>
  <c r="D100" i="1" s="1"/>
  <c r="E101" i="1" s="1"/>
  <c r="C35" i="2"/>
  <c r="D71" i="2" s="1"/>
  <c r="E72" i="2" s="1"/>
  <c r="F72" i="2" s="1"/>
  <c r="D58" i="5" l="1"/>
  <c r="E59" i="5" s="1"/>
  <c r="E29" i="5"/>
  <c r="C92" i="5"/>
  <c r="F92" i="5" s="1"/>
  <c r="F28" i="5"/>
  <c r="D38" i="5"/>
  <c r="D63" i="5"/>
  <c r="E64" i="5" s="1"/>
  <c r="E24" i="4"/>
  <c r="B25" i="4" s="1"/>
  <c r="G23" i="4"/>
  <c r="E35" i="2"/>
  <c r="B36" i="2" s="1"/>
  <c r="D39" i="1"/>
  <c r="D105" i="1" s="1"/>
  <c r="E106" i="1" s="1"/>
  <c r="B23" i="1"/>
  <c r="C28" i="1" s="1"/>
  <c r="E30" i="5" l="1"/>
  <c r="C93" i="5"/>
  <c r="F93" i="5" s="1"/>
  <c r="F29" i="5"/>
  <c r="D39" i="5"/>
  <c r="D68" i="5"/>
  <c r="E69" i="5" s="1"/>
  <c r="C25" i="4"/>
  <c r="E25" i="4" s="1"/>
  <c r="B26" i="4" s="1"/>
  <c r="E28" i="1"/>
  <c r="B29" i="1" s="1"/>
  <c r="D48" i="1"/>
  <c r="E49" i="1" s="1"/>
  <c r="F49" i="1" s="1"/>
  <c r="C36" i="2"/>
  <c r="D76" i="2" s="1"/>
  <c r="E77" i="2" s="1"/>
  <c r="F77" i="2" s="1"/>
  <c r="E31" i="5" l="1"/>
  <c r="C94" i="5"/>
  <c r="F94" i="5" s="1"/>
  <c r="F30" i="5"/>
  <c r="D40" i="5"/>
  <c r="D73" i="5"/>
  <c r="E74" i="5" s="1"/>
  <c r="C26" i="4"/>
  <c r="E26" i="4" s="1"/>
  <c r="G24" i="4"/>
  <c r="C27" i="4"/>
  <c r="C28" i="4" s="1"/>
  <c r="E36" i="2"/>
  <c r="B37" i="2" s="1"/>
  <c r="C29" i="1"/>
  <c r="D53" i="1" s="1"/>
  <c r="E54" i="1" s="1"/>
  <c r="F54" i="1" s="1"/>
  <c r="C95" i="5" l="1"/>
  <c r="F95" i="5" s="1"/>
  <c r="F31" i="5"/>
  <c r="G25" i="5" s="1"/>
  <c r="D41" i="5"/>
  <c r="D83" i="5" s="1"/>
  <c r="E84" i="5" s="1"/>
  <c r="D78" i="5"/>
  <c r="E79" i="5" s="1"/>
  <c r="G25" i="4"/>
  <c r="G26" i="4" s="1"/>
  <c r="D60" i="4"/>
  <c r="E29" i="1"/>
  <c r="B30" i="1" s="1"/>
  <c r="E37" i="2"/>
  <c r="B38" i="2" s="1"/>
  <c r="C37" i="2"/>
  <c r="D81" i="2" s="1"/>
  <c r="E82" i="2" s="1"/>
  <c r="F82" i="2" s="1"/>
  <c r="F32" i="5" l="1"/>
  <c r="C36" i="5" s="1"/>
  <c r="E36" i="5"/>
  <c r="B37" i="5" s="1"/>
  <c r="D56" i="5"/>
  <c r="E57" i="5" s="1"/>
  <c r="F57" i="5" s="1"/>
  <c r="D45" i="4"/>
  <c r="E46" i="4" s="1"/>
  <c r="F46" i="4" s="1"/>
  <c r="C38" i="2"/>
  <c r="D86" i="2" s="1"/>
  <c r="E87" i="2" s="1"/>
  <c r="E38" i="2"/>
  <c r="B39" i="2" s="1"/>
  <c r="C30" i="1"/>
  <c r="D58" i="1" s="1"/>
  <c r="E59" i="1" s="1"/>
  <c r="F59" i="1" s="1"/>
  <c r="F87" i="2"/>
  <c r="C37" i="5" l="1"/>
  <c r="D61" i="5" s="1"/>
  <c r="E62" i="5" s="1"/>
  <c r="F62" i="5" s="1"/>
  <c r="E30" i="1"/>
  <c r="B31" i="1" s="1"/>
  <c r="C39" i="2"/>
  <c r="D91" i="2" s="1"/>
  <c r="E92" i="2" s="1"/>
  <c r="F92" i="2" s="1"/>
  <c r="E37" i="5" l="1"/>
  <c r="B38" i="5" s="1"/>
  <c r="D50" i="4"/>
  <c r="E51" i="4" s="1"/>
  <c r="F51" i="4" s="1"/>
  <c r="E39" i="2"/>
  <c r="B40" i="2" s="1"/>
  <c r="C31" i="1"/>
  <c r="D63" i="1" s="1"/>
  <c r="E64" i="1" s="1"/>
  <c r="F64" i="1" s="1"/>
  <c r="C38" i="5" l="1"/>
  <c r="D66" i="5" s="1"/>
  <c r="E67" i="5" s="1"/>
  <c r="F67" i="5" s="1"/>
  <c r="C40" i="2"/>
  <c r="D96" i="2" s="1"/>
  <c r="E97" i="2" s="1"/>
  <c r="F97" i="2" s="1"/>
  <c r="E31" i="1"/>
  <c r="B32" i="1" s="1"/>
  <c r="E38" i="5" l="1"/>
  <c r="B39" i="5" s="1"/>
  <c r="D55" i="4"/>
  <c r="E56" i="4" s="1"/>
  <c r="F56" i="4" s="1"/>
  <c r="C32" i="1"/>
  <c r="D68" i="1" s="1"/>
  <c r="E69" i="1" s="1"/>
  <c r="F69" i="1" s="1"/>
  <c r="E32" i="1"/>
  <c r="B33" i="1" s="1"/>
  <c r="E40" i="2"/>
  <c r="B41" i="2" s="1"/>
  <c r="C39" i="5" l="1"/>
  <c r="E39" i="5"/>
  <c r="B40" i="5" s="1"/>
  <c r="C33" i="1"/>
  <c r="D73" i="1" s="1"/>
  <c r="E74" i="1" s="1"/>
  <c r="F74" i="1" s="1"/>
  <c r="E33" i="1"/>
  <c r="B34" i="1" s="1"/>
  <c r="C41" i="2"/>
  <c r="D101" i="2" s="1"/>
  <c r="E102" i="2" s="1"/>
  <c r="F102" i="2" s="1"/>
  <c r="C40" i="5" l="1"/>
  <c r="D76" i="5" s="1"/>
  <c r="E77" i="5" s="1"/>
  <c r="D71" i="5"/>
  <c r="E72" i="5" s="1"/>
  <c r="F72" i="5" s="1"/>
  <c r="E61" i="4"/>
  <c r="F61" i="4" s="1"/>
  <c r="E41" i="2"/>
  <c r="B42" i="2" s="1"/>
  <c r="C34" i="1"/>
  <c r="D78" i="1" s="1"/>
  <c r="E79" i="1" s="1"/>
  <c r="F79" i="1" s="1"/>
  <c r="E40" i="5" l="1"/>
  <c r="B41" i="5" s="1"/>
  <c r="F77" i="5"/>
  <c r="E42" i="2"/>
  <c r="C42" i="2"/>
  <c r="D106" i="2" s="1"/>
  <c r="E107" i="2" s="1"/>
  <c r="F107" i="2" s="1"/>
  <c r="E34" i="1"/>
  <c r="B35" i="1" s="1"/>
  <c r="C41" i="5" l="1"/>
  <c r="E41" i="5" s="1"/>
  <c r="C35" i="1"/>
  <c r="D83" i="1" s="1"/>
  <c r="E84" i="1" s="1"/>
  <c r="F84" i="1" s="1"/>
  <c r="D81" i="5" l="1"/>
  <c r="E82" i="5" s="1"/>
  <c r="F82" i="5" s="1"/>
  <c r="E35" i="1"/>
  <c r="B36" i="1" s="1"/>
  <c r="C36" i="1" l="1"/>
  <c r="D88" i="1" s="1"/>
  <c r="E89" i="1" s="1"/>
  <c r="F89" i="1" s="1"/>
  <c r="E36" i="1" l="1"/>
  <c r="B37" i="1" s="1"/>
  <c r="C37" i="1" l="1"/>
  <c r="D93" i="1" s="1"/>
  <c r="E94" i="1" s="1"/>
  <c r="F94" i="1" s="1"/>
  <c r="E37" i="1" l="1"/>
  <c r="B38" i="1" s="1"/>
  <c r="E38" i="1" l="1"/>
  <c r="B39" i="1" s="1"/>
  <c r="C38" i="1"/>
  <c r="D98" i="1" s="1"/>
  <c r="E99" i="1" s="1"/>
  <c r="F99" i="1" s="1"/>
  <c r="E39" i="1" l="1"/>
  <c r="C39" i="1"/>
  <c r="D103" i="1" s="1"/>
  <c r="E104" i="1" s="1"/>
  <c r="F104" i="1" s="1"/>
</calcChain>
</file>

<file path=xl/sharedStrings.xml><?xml version="1.0" encoding="utf-8"?>
<sst xmlns="http://schemas.openxmlformats.org/spreadsheetml/2006/main" count="253" uniqueCount="45">
  <si>
    <t>Prestamo</t>
  </si>
  <si>
    <t>Tasa</t>
  </si>
  <si>
    <t>Plazo</t>
  </si>
  <si>
    <t>Gracia</t>
  </si>
  <si>
    <t>Pago</t>
  </si>
  <si>
    <t>Comisión</t>
  </si>
  <si>
    <t>Paso 1:</t>
  </si>
  <si>
    <t>La tasa efectiva</t>
  </si>
  <si>
    <t>Paso 2:</t>
  </si>
  <si>
    <t>El cuadro del costo amortizado</t>
  </si>
  <si>
    <t>S. Inicial</t>
  </si>
  <si>
    <t>(+) CF</t>
  </si>
  <si>
    <t>(-) Pagos</t>
  </si>
  <si>
    <t>S. Final</t>
  </si>
  <si>
    <t>Paso 3:</t>
  </si>
  <si>
    <t>Registros contables</t>
  </si>
  <si>
    <t>D</t>
  </si>
  <si>
    <t>H</t>
  </si>
  <si>
    <t>Efectivo</t>
  </si>
  <si>
    <t>Préstamo por pagar</t>
  </si>
  <si>
    <t>NIIF9/NIIF13</t>
  </si>
  <si>
    <t>Gasto financiero</t>
  </si>
  <si>
    <t>Pago Final</t>
  </si>
  <si>
    <t>El Calendario del Banco</t>
  </si>
  <si>
    <t>Principal</t>
  </si>
  <si>
    <t>Intereses</t>
  </si>
  <si>
    <t>Gasto</t>
  </si>
  <si>
    <t>TAX</t>
  </si>
  <si>
    <t>NIIF</t>
  </si>
  <si>
    <t>C</t>
  </si>
  <si>
    <t>INT</t>
  </si>
  <si>
    <t>Adicionalmente se pagará:</t>
  </si>
  <si>
    <t>Comisión de intermediación</t>
  </si>
  <si>
    <t>Seguro mensual</t>
  </si>
  <si>
    <t>Entrada</t>
  </si>
  <si>
    <t>Salida 1</t>
  </si>
  <si>
    <t>Salida 2</t>
  </si>
  <si>
    <t>Salida 3</t>
  </si>
  <si>
    <t>Flujos</t>
  </si>
  <si>
    <t>Comisión por pagar</t>
  </si>
  <si>
    <t xml:space="preserve">según </t>
  </si>
  <si>
    <t>calendario</t>
  </si>
  <si>
    <t>Seguros</t>
  </si>
  <si>
    <t>Comision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</si>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</sst>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Mes&quot;##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3" fontId="1" fillId="0" borderId="0" xfId="0" applyNumberFormat="1" applyFont="1"/>
    <xf numFmtId="10" fontId="1" fillId="0" borderId="0" xfId="0" applyNumberFormat="1" applyFont="1"/>
    <xf numFmtId="3" fontId="0" fillId="0" borderId="0" xfId="0" applyNumberFormat="1"/>
    <xf numFmtId="10" fontId="1" fillId="2" borderId="0" xfId="0" applyNumberFormat="1" applyFont="1" applyFill="1"/>
    <xf numFmtId="0" fontId="1" fillId="3" borderId="0" xfId="0" applyFont="1" applyFill="1" applyAlignment="1">
      <alignment horizontal="center"/>
    </xf>
    <xf numFmtId="3" fontId="0" fillId="4" borderId="0" xfId="0" applyNumberFormat="1" applyFill="1"/>
    <xf numFmtId="0" fontId="0" fillId="5" borderId="0" xfId="0" applyFill="1"/>
    <xf numFmtId="3" fontId="0" fillId="5" borderId="0" xfId="0" applyNumberFormat="1" applyFill="1"/>
    <xf numFmtId="164" fontId="1" fillId="0" borderId="0" xfId="0" applyNumberFormat="1" applyFont="1" applyAlignment="1">
      <alignment horizontal="left"/>
    </xf>
    <xf numFmtId="3" fontId="0" fillId="5" borderId="1" xfId="0" applyNumberFormat="1" applyFill="1" applyBorder="1"/>
    <xf numFmtId="0" fontId="0" fillId="3" borderId="0" xfId="0" applyFill="1"/>
    <xf numFmtId="3" fontId="0" fillId="3" borderId="0" xfId="0" applyNumberFormat="1" applyFill="1"/>
    <xf numFmtId="0" fontId="0" fillId="6" borderId="0" xfId="0" applyFill="1"/>
    <xf numFmtId="0" fontId="1" fillId="7" borderId="0" xfId="0" applyFont="1" applyFill="1"/>
    <xf numFmtId="3" fontId="1" fillId="7" borderId="0" xfId="0" applyNumberFormat="1" applyFont="1" applyFill="1"/>
    <xf numFmtId="10" fontId="1" fillId="7" borderId="0" xfId="0" applyNumberFormat="1" applyFont="1" applyFill="1"/>
    <xf numFmtId="3" fontId="2" fillId="0" borderId="0" xfId="0" applyNumberFormat="1" applyFont="1"/>
    <xf numFmtId="3" fontId="0" fillId="2" borderId="0" xfId="0" applyNumberFormat="1" applyFill="1"/>
    <xf numFmtId="0" fontId="0" fillId="7" borderId="0" xfId="0" applyFill="1"/>
    <xf numFmtId="3" fontId="0" fillId="7" borderId="0" xfId="0" applyNumberFormat="1" applyFill="1"/>
    <xf numFmtId="3" fontId="0" fillId="2" borderId="1" xfId="0" applyNumberFormat="1" applyFill="1" applyBorder="1"/>
    <xf numFmtId="0" fontId="1" fillId="0" borderId="0" xfId="0" applyFont="1" applyAlignment="1">
      <alignment horizontal="center"/>
    </xf>
    <xf numFmtId="3" fontId="0" fillId="8" borderId="0" xfId="0" applyNumberFormat="1" applyFont="1" applyFill="1"/>
    <xf numFmtId="3" fontId="1" fillId="9" borderId="0" xfId="0" applyNumberFormat="1" applyFont="1" applyFill="1"/>
    <xf numFmtId="3" fontId="0" fillId="9" borderId="0" xfId="0" applyNumberFormat="1" applyFill="1"/>
    <xf numFmtId="3" fontId="0" fillId="8" borderId="0" xfId="0" applyNumberFormat="1" applyFill="1"/>
    <xf numFmtId="3" fontId="0" fillId="10" borderId="0" xfId="0" applyNumberFormat="1" applyFill="1"/>
    <xf numFmtId="0" fontId="1" fillId="10" borderId="0" xfId="0" applyFont="1" applyFill="1"/>
    <xf numFmtId="3" fontId="1" fillId="10" borderId="0" xfId="0" applyNumberFormat="1" applyFont="1" applyFill="1"/>
    <xf numFmtId="0" fontId="0" fillId="10" borderId="0" xfId="0" applyFill="1"/>
    <xf numFmtId="10" fontId="1" fillId="10" borderId="0" xfId="0" applyNumberFormat="1" applyFont="1" applyFill="1"/>
    <xf numFmtId="3" fontId="0" fillId="11" borderId="0" xfId="0" applyNumberFormat="1" applyFill="1"/>
    <xf numFmtId="3" fontId="1" fillId="11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/>
    <xf numFmtId="3" fontId="0" fillId="4" borderId="1" xfId="0" applyNumberFormat="1" applyFill="1" applyBorder="1"/>
    <xf numFmtId="17" fontId="0" fillId="0" borderId="0" xfId="0" applyNumberFormat="1"/>
    <xf numFmtId="0" fontId="0" fillId="4" borderId="0" xfId="0" applyFill="1"/>
    <xf numFmtId="0" fontId="1" fillId="4" borderId="0" xfId="0" applyFont="1" applyFill="1" applyAlignment="1">
      <alignment horizontal="center"/>
    </xf>
    <xf numFmtId="3" fontId="4" fillId="12" borderId="0" xfId="0" applyNumberFormat="1" applyFont="1" applyFill="1"/>
    <xf numFmtId="166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0" fontId="4" fillId="12" borderId="0" xfId="0" applyFont="1" applyFill="1" applyAlignment="1">
      <alignment horizontal="center"/>
    </xf>
    <xf numFmtId="3" fontId="0" fillId="0" borderId="5" xfId="0" applyNumberFormat="1" applyBorder="1"/>
    <xf numFmtId="3" fontId="0" fillId="0" borderId="0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4" fillId="12" borderId="2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56CE-5041-498B-867E-9EF6DFAD77B4}">
  <dimension ref="A1:G96"/>
  <sheetViews>
    <sheetView tabSelected="1" zoomScale="115" zoomScaleNormal="115" workbookViewId="0">
      <selection activeCell="E4" sqref="E4"/>
    </sheetView>
  </sheetViews>
  <sheetFormatPr baseColWidth="10" defaultRowHeight="15" x14ac:dyDescent="0.25"/>
  <cols>
    <col min="1" max="1" width="5.85546875" customWidth="1"/>
    <col min="2" max="2" width="12.140625" bestFit="1" customWidth="1"/>
    <col min="3" max="3" width="9.28515625" bestFit="1" customWidth="1"/>
    <col min="5" max="5" width="10.140625" customWidth="1"/>
  </cols>
  <sheetData>
    <row r="1" spans="1:4" x14ac:dyDescent="0.25">
      <c r="A1" s="29" t="s">
        <v>0</v>
      </c>
      <c r="B1" s="30">
        <v>100000</v>
      </c>
      <c r="C1" s="29"/>
      <c r="D1" s="29"/>
    </row>
    <row r="2" spans="1:4" x14ac:dyDescent="0.25">
      <c r="A2" s="29" t="s">
        <v>1</v>
      </c>
      <c r="B2" s="5">
        <v>0.01</v>
      </c>
      <c r="C2" s="29"/>
      <c r="D2" s="29"/>
    </row>
    <row r="3" spans="1:4" x14ac:dyDescent="0.25">
      <c r="A3" s="29" t="s">
        <v>2</v>
      </c>
      <c r="B3" s="29">
        <v>6</v>
      </c>
      <c r="C3" s="31"/>
      <c r="D3" s="31"/>
    </row>
    <row r="4" spans="1:4" x14ac:dyDescent="0.25">
      <c r="A4" s="29" t="s">
        <v>4</v>
      </c>
      <c r="B4" s="30">
        <f>-PMT(B2,B3,B1,0,0)</f>
        <v>17254.836671088142</v>
      </c>
      <c r="C4" s="31"/>
      <c r="D4" s="31"/>
    </row>
    <row r="5" spans="1:4" x14ac:dyDescent="0.25">
      <c r="A5" s="29" t="s">
        <v>5</v>
      </c>
      <c r="B5" s="32">
        <v>0.05</v>
      </c>
      <c r="C5" s="31"/>
      <c r="D5" s="33">
        <f>+B1*B5</f>
        <v>5000</v>
      </c>
    </row>
    <row r="7" spans="1:4" x14ac:dyDescent="0.25">
      <c r="A7" s="1" t="s">
        <v>23</v>
      </c>
    </row>
    <row r="8" spans="1:4" x14ac:dyDescent="0.25">
      <c r="B8" s="23" t="s">
        <v>24</v>
      </c>
      <c r="C8" s="23" t="s">
        <v>25</v>
      </c>
      <c r="D8" s="23" t="s">
        <v>4</v>
      </c>
    </row>
    <row r="9" spans="1:4" x14ac:dyDescent="0.25">
      <c r="A9" s="1">
        <v>0</v>
      </c>
      <c r="B9" s="23"/>
      <c r="C9" s="23"/>
      <c r="D9" s="23"/>
    </row>
    <row r="10" spans="1:4" x14ac:dyDescent="0.25">
      <c r="A10" s="1">
        <v>1</v>
      </c>
      <c r="B10" s="24">
        <f>-PPMT($B$2,$A10,$A$15,$B$1,0,0)</f>
        <v>16254.83667108814</v>
      </c>
      <c r="C10" s="24">
        <f>-IPMT($B$2,$A10,$A$15,$B$1,0,0)</f>
        <v>1000</v>
      </c>
      <c r="D10" s="26">
        <f>+B10+C10</f>
        <v>17254.836671088138</v>
      </c>
    </row>
    <row r="11" spans="1:4" x14ac:dyDescent="0.25">
      <c r="A11" s="1">
        <f t="shared" ref="A11:A15" si="0">+A10+1</f>
        <v>2</v>
      </c>
      <c r="B11" s="24">
        <f>-PPMT($B$2,$A11,$A$15,$B$1,0,0)</f>
        <v>16417.38503779902</v>
      </c>
      <c r="C11" s="24">
        <f>-IPMT($B$2,$A11,$A$15,$B$1,0,0)</f>
        <v>837.4516332891186</v>
      </c>
      <c r="D11" s="26">
        <f>+B11+C11</f>
        <v>17254.836671088138</v>
      </c>
    </row>
    <row r="12" spans="1:4" x14ac:dyDescent="0.25">
      <c r="A12" s="1">
        <f t="shared" si="0"/>
        <v>3</v>
      </c>
      <c r="B12" s="24">
        <f>-PPMT($B$2,$A12,$A$15,$B$1,0,0)</f>
        <v>16581.558888177013</v>
      </c>
      <c r="C12" s="24">
        <f>-IPMT($B$2,$A12,$A$15,$B$1,0,0)</f>
        <v>673.27778291112827</v>
      </c>
      <c r="D12" s="26">
        <f>+B12+C12</f>
        <v>17254.836671088142</v>
      </c>
    </row>
    <row r="13" spans="1:4" x14ac:dyDescent="0.25">
      <c r="A13" s="1">
        <f t="shared" si="0"/>
        <v>4</v>
      </c>
      <c r="B13" s="24">
        <f>-PPMT($B$2,$A13,$A$15,$B$1,0,0)</f>
        <v>16747.374477058784</v>
      </c>
      <c r="C13" s="24">
        <f>-IPMT($B$2,$A13,$A$15,$B$1,0,0)</f>
        <v>507.46219402935822</v>
      </c>
      <c r="D13" s="26">
        <f>+B13+C13</f>
        <v>17254.836671088142</v>
      </c>
    </row>
    <row r="14" spans="1:4" x14ac:dyDescent="0.25">
      <c r="A14" s="1">
        <f t="shared" si="0"/>
        <v>5</v>
      </c>
      <c r="B14" s="24">
        <f>-PPMT($B$2,$A14,$A$15,$B$1,0,0)</f>
        <v>16914.848221829368</v>
      </c>
      <c r="C14" s="24">
        <f>-IPMT($B$2,$A14,$A$15,$B$1,0,0)</f>
        <v>339.9884492587704</v>
      </c>
      <c r="D14" s="26">
        <f>+B14+C14</f>
        <v>17254.836671088138</v>
      </c>
    </row>
    <row r="15" spans="1:4" x14ac:dyDescent="0.25">
      <c r="A15" s="1">
        <f t="shared" si="0"/>
        <v>6</v>
      </c>
      <c r="B15" s="24">
        <f>-PPMT($B$2,$A15,$A$15,$B$1,0,0)</f>
        <v>17083.996704047662</v>
      </c>
      <c r="C15" s="24">
        <f>-IPMT($B$2,$A15,$A$15,$B$1,0,0)</f>
        <v>170.83996704047667</v>
      </c>
      <c r="D15" s="26">
        <f>+B15+C15</f>
        <v>17254.836671088138</v>
      </c>
    </row>
    <row r="16" spans="1:4" x14ac:dyDescent="0.25">
      <c r="A16" s="1"/>
      <c r="B16" s="25">
        <f>SUM(B10:B15)</f>
        <v>99999.999999999985</v>
      </c>
      <c r="C16" s="25">
        <f t="shared" ref="C16:D16" si="1">SUM(C10:C15)</f>
        <v>3529.0200265288518</v>
      </c>
      <c r="D16" s="25">
        <f t="shared" si="1"/>
        <v>103529.02002652883</v>
      </c>
    </row>
    <row r="18" spans="1:7" x14ac:dyDescent="0.25">
      <c r="A18" s="1" t="s">
        <v>31</v>
      </c>
    </row>
    <row r="19" spans="1:7" x14ac:dyDescent="0.25">
      <c r="A19" t="s">
        <v>32</v>
      </c>
      <c r="D19" s="43">
        <v>0.01</v>
      </c>
      <c r="E19" s="42">
        <f>+B1*D19</f>
        <v>1000</v>
      </c>
    </row>
    <row r="20" spans="1:7" x14ac:dyDescent="0.25">
      <c r="A20" t="s">
        <v>33</v>
      </c>
      <c r="D20" s="43">
        <v>0.01</v>
      </c>
      <c r="E20" s="42">
        <f>+D20*D10</f>
        <v>172.5483667108814</v>
      </c>
    </row>
    <row r="24" spans="1:7" x14ac:dyDescent="0.25">
      <c r="B24" s="45" t="s">
        <v>34</v>
      </c>
      <c r="C24" s="45" t="s">
        <v>35</v>
      </c>
      <c r="D24" s="45" t="s">
        <v>36</v>
      </c>
      <c r="E24" s="45" t="s">
        <v>37</v>
      </c>
      <c r="F24" s="45" t="s">
        <v>38</v>
      </c>
    </row>
    <row r="25" spans="1:7" x14ac:dyDescent="0.25">
      <c r="A25" s="1">
        <v>0</v>
      </c>
      <c r="B25" s="33">
        <f>+B1*(1-B5)</f>
        <v>95000</v>
      </c>
      <c r="D25" s="44">
        <f>-E19</f>
        <v>-1000</v>
      </c>
      <c r="F25" s="4">
        <f>SUM(B25:E25)</f>
        <v>94000</v>
      </c>
      <c r="G25" s="4">
        <f>SUM(F25:F31)</f>
        <v>-10564.310226794121</v>
      </c>
    </row>
    <row r="26" spans="1:7" x14ac:dyDescent="0.25">
      <c r="A26" s="1">
        <v>1</v>
      </c>
      <c r="B26" s="4"/>
      <c r="C26" s="4">
        <f>-D10</f>
        <v>-17254.836671088138</v>
      </c>
      <c r="E26" s="44">
        <f>-E20</f>
        <v>-172.5483667108814</v>
      </c>
      <c r="F26" s="4">
        <f>SUM(B26:E26)</f>
        <v>-17427.38503779902</v>
      </c>
    </row>
    <row r="27" spans="1:7" x14ac:dyDescent="0.25">
      <c r="A27" s="1">
        <f t="shared" ref="A27:A31" si="2">+A26+1</f>
        <v>2</v>
      </c>
      <c r="B27" s="4"/>
      <c r="C27" s="4">
        <f>-D11</f>
        <v>-17254.836671088138</v>
      </c>
      <c r="E27" s="44">
        <f>+E26</f>
        <v>-172.5483667108814</v>
      </c>
      <c r="F27" s="4">
        <f>SUM(B27:E27)</f>
        <v>-17427.38503779902</v>
      </c>
    </row>
    <row r="28" spans="1:7" x14ac:dyDescent="0.25">
      <c r="A28" s="1">
        <f t="shared" si="2"/>
        <v>3</v>
      </c>
      <c r="B28" s="4"/>
      <c r="C28" s="4">
        <f>-D12</f>
        <v>-17254.836671088142</v>
      </c>
      <c r="E28" s="44">
        <f t="shared" ref="E28:E31" si="3">+E27</f>
        <v>-172.5483667108814</v>
      </c>
      <c r="F28" s="4">
        <f>SUM(B28:E28)</f>
        <v>-17427.385037799024</v>
      </c>
    </row>
    <row r="29" spans="1:7" x14ac:dyDescent="0.25">
      <c r="A29" s="1">
        <f t="shared" si="2"/>
        <v>4</v>
      </c>
      <c r="B29" s="4"/>
      <c r="C29" s="4">
        <f>-D13</f>
        <v>-17254.836671088142</v>
      </c>
      <c r="E29" s="44">
        <f t="shared" si="3"/>
        <v>-172.5483667108814</v>
      </c>
      <c r="F29" s="4">
        <f>SUM(B29:E29)</f>
        <v>-17427.385037799024</v>
      </c>
    </row>
    <row r="30" spans="1:7" x14ac:dyDescent="0.25">
      <c r="A30" s="1">
        <f t="shared" si="2"/>
        <v>5</v>
      </c>
      <c r="B30" s="4"/>
      <c r="C30" s="4">
        <f>-D14</f>
        <v>-17254.836671088138</v>
      </c>
      <c r="E30" s="44">
        <f t="shared" si="3"/>
        <v>-172.5483667108814</v>
      </c>
      <c r="F30" s="4">
        <f>SUM(B30:E30)</f>
        <v>-17427.38503779902</v>
      </c>
    </row>
    <row r="31" spans="1:7" x14ac:dyDescent="0.25">
      <c r="A31" s="1">
        <f t="shared" si="2"/>
        <v>6</v>
      </c>
      <c r="B31" s="4"/>
      <c r="C31" s="4">
        <f>-D15</f>
        <v>-17254.836671088138</v>
      </c>
      <c r="E31" s="44">
        <f t="shared" si="3"/>
        <v>-172.5483667108814</v>
      </c>
      <c r="F31" s="4">
        <f>SUM(B31:E31)</f>
        <v>-17427.38503779902</v>
      </c>
    </row>
    <row r="32" spans="1:7" x14ac:dyDescent="0.25">
      <c r="F32" s="3">
        <f>IRR(F25:F31)</f>
        <v>3.1306607432643796E-2</v>
      </c>
    </row>
    <row r="33" spans="1:7" x14ac:dyDescent="0.25">
      <c r="A33" s="1" t="s">
        <v>8</v>
      </c>
      <c r="B33" s="1" t="s">
        <v>9</v>
      </c>
      <c r="C33" s="1"/>
    </row>
    <row r="35" spans="1:7" x14ac:dyDescent="0.25">
      <c r="B35" s="6" t="s">
        <v>10</v>
      </c>
      <c r="C35" s="6" t="s">
        <v>11</v>
      </c>
      <c r="D35" s="6" t="s">
        <v>12</v>
      </c>
      <c r="E35" s="6" t="s">
        <v>13</v>
      </c>
      <c r="G35" s="4"/>
    </row>
    <row r="36" spans="1:7" x14ac:dyDescent="0.25">
      <c r="A36">
        <f>+A35+1</f>
        <v>1</v>
      </c>
      <c r="B36" s="28">
        <f>+F25</f>
        <v>94000</v>
      </c>
      <c r="C36" s="27">
        <f>+B36*$F$32</f>
        <v>2942.8210986685167</v>
      </c>
      <c r="D36" s="27">
        <f>F26</f>
        <v>-17427.38503779902</v>
      </c>
      <c r="E36" s="28">
        <f>+B36+C36+D36</f>
        <v>79515.436060869499</v>
      </c>
      <c r="G36" s="4"/>
    </row>
    <row r="37" spans="1:7" x14ac:dyDescent="0.25">
      <c r="A37">
        <f t="shared" ref="A37:A41" si="4">+A36+1</f>
        <v>2</v>
      </c>
      <c r="B37" s="28">
        <f>+E36</f>
        <v>79515.436060869499</v>
      </c>
      <c r="C37" s="27">
        <f>+B37*$F$32</f>
        <v>2489.3585415931298</v>
      </c>
      <c r="D37" s="27">
        <f>+D36</f>
        <v>-17427.38503779902</v>
      </c>
      <c r="E37" s="28">
        <f t="shared" ref="E37:E41" si="5">+B37+C37+D37</f>
        <v>64577.409564663612</v>
      </c>
      <c r="G37" s="4"/>
    </row>
    <row r="38" spans="1:7" x14ac:dyDescent="0.25">
      <c r="A38">
        <f t="shared" si="4"/>
        <v>3</v>
      </c>
      <c r="B38" s="28">
        <f>+E37</f>
        <v>64577.409564663612</v>
      </c>
      <c r="C38" s="27">
        <f t="shared" ref="C38:C41" si="6">+B38*$F$32</f>
        <v>2021.6996102579803</v>
      </c>
      <c r="D38" s="27">
        <f t="shared" ref="D38:D41" si="7">+D37</f>
        <v>-17427.38503779902</v>
      </c>
      <c r="E38" s="28">
        <f t="shared" si="5"/>
        <v>49171.724137122583</v>
      </c>
      <c r="G38" s="4"/>
    </row>
    <row r="39" spans="1:7" x14ac:dyDescent="0.25">
      <c r="A39">
        <f t="shared" si="4"/>
        <v>4</v>
      </c>
      <c r="B39" s="28">
        <f t="shared" ref="B39:B41" si="8">+E38</f>
        <v>49171.724137122583</v>
      </c>
      <c r="C39" s="27">
        <f t="shared" si="6"/>
        <v>1539.3998643471523</v>
      </c>
      <c r="D39" s="27">
        <f t="shared" si="7"/>
        <v>-17427.38503779902</v>
      </c>
      <c r="E39" s="28">
        <f t="shared" si="5"/>
        <v>33283.738963670708</v>
      </c>
      <c r="G39" s="4"/>
    </row>
    <row r="40" spans="1:7" x14ac:dyDescent="0.25">
      <c r="A40">
        <f t="shared" si="4"/>
        <v>5</v>
      </c>
      <c r="B40" s="28">
        <f t="shared" si="8"/>
        <v>33283.738963670708</v>
      </c>
      <c r="C40" s="27">
        <f t="shared" si="6"/>
        <v>1042.0009496262294</v>
      </c>
      <c r="D40" s="27">
        <f t="shared" si="7"/>
        <v>-17427.38503779902</v>
      </c>
      <c r="E40" s="28">
        <f t="shared" si="5"/>
        <v>16898.354875497917</v>
      </c>
      <c r="G40" s="4"/>
    </row>
    <row r="41" spans="1:7" x14ac:dyDescent="0.25">
      <c r="A41">
        <f t="shared" si="4"/>
        <v>6</v>
      </c>
      <c r="B41" s="28">
        <f t="shared" si="8"/>
        <v>16898.354875497917</v>
      </c>
      <c r="C41" s="27">
        <f t="shared" si="6"/>
        <v>529.03016234471556</v>
      </c>
      <c r="D41" s="27">
        <f t="shared" si="7"/>
        <v>-17427.38503779902</v>
      </c>
      <c r="E41" s="28">
        <f t="shared" si="5"/>
        <v>4.3612089939415455E-8</v>
      </c>
      <c r="G41" s="4"/>
    </row>
    <row r="42" spans="1:7" x14ac:dyDescent="0.25">
      <c r="C42" s="25">
        <f>SUM(C36:C41)</f>
        <v>10564.310226837724</v>
      </c>
      <c r="D42" s="4"/>
    </row>
    <row r="43" spans="1:7" x14ac:dyDescent="0.25">
      <c r="A43" s="10"/>
      <c r="D43" s="4"/>
      <c r="E43" s="4"/>
    </row>
    <row r="44" spans="1:7" x14ac:dyDescent="0.25">
      <c r="A44" s="10"/>
      <c r="D44" s="4"/>
      <c r="E44" s="4"/>
    </row>
    <row r="45" spans="1:7" x14ac:dyDescent="0.25">
      <c r="A45" s="10"/>
      <c r="D45" s="6" t="s">
        <v>16</v>
      </c>
      <c r="E45" s="6" t="s">
        <v>17</v>
      </c>
    </row>
    <row r="46" spans="1:7" x14ac:dyDescent="0.25">
      <c r="A46" s="35" t="s">
        <v>18</v>
      </c>
      <c r="B46" s="35"/>
      <c r="C46" s="35"/>
      <c r="D46" s="36">
        <f>+B25</f>
        <v>95000</v>
      </c>
      <c r="E46" s="36"/>
    </row>
    <row r="47" spans="1:7" x14ac:dyDescent="0.25">
      <c r="A47" s="35" t="s">
        <v>19</v>
      </c>
      <c r="B47" s="35"/>
      <c r="C47" s="35"/>
      <c r="D47" s="36"/>
      <c r="E47" s="36">
        <f>+D46</f>
        <v>95000</v>
      </c>
    </row>
    <row r="48" spans="1:7" x14ac:dyDescent="0.25">
      <c r="D48" s="4"/>
      <c r="E48" s="4"/>
    </row>
    <row r="49" spans="1:6" x14ac:dyDescent="0.25">
      <c r="A49" s="35" t="s">
        <v>19</v>
      </c>
      <c r="B49" s="35"/>
      <c r="C49" s="35"/>
      <c r="D49" s="36">
        <f>+E50</f>
        <v>1000</v>
      </c>
      <c r="E49" s="36"/>
      <c r="F49" s="36">
        <f>+E47-D49</f>
        <v>94000</v>
      </c>
    </row>
    <row r="50" spans="1:6" x14ac:dyDescent="0.25">
      <c r="A50" s="35" t="s">
        <v>39</v>
      </c>
      <c r="B50" s="35"/>
      <c r="C50" s="35"/>
      <c r="D50" s="36"/>
      <c r="E50" s="36">
        <f>-D25</f>
        <v>1000</v>
      </c>
    </row>
    <row r="51" spans="1:6" x14ac:dyDescent="0.25">
      <c r="D51" s="4"/>
      <c r="E51" s="4"/>
    </row>
    <row r="52" spans="1:6" x14ac:dyDescent="0.25">
      <c r="A52" s="35" t="s">
        <v>39</v>
      </c>
      <c r="B52" s="35"/>
      <c r="C52" s="35"/>
      <c r="D52" s="36">
        <f>+D49</f>
        <v>1000</v>
      </c>
      <c r="E52" s="36"/>
    </row>
    <row r="53" spans="1:6" x14ac:dyDescent="0.25">
      <c r="A53" s="35" t="s">
        <v>18</v>
      </c>
      <c r="B53" s="35"/>
      <c r="C53" s="35"/>
      <c r="D53" s="36"/>
      <c r="E53" s="36">
        <f>+D52</f>
        <v>1000</v>
      </c>
    </row>
    <row r="54" spans="1:6" x14ac:dyDescent="0.25">
      <c r="D54" s="4"/>
      <c r="E54" s="4"/>
    </row>
    <row r="55" spans="1:6" x14ac:dyDescent="0.25">
      <c r="A55" s="10">
        <v>1</v>
      </c>
      <c r="D55" s="4"/>
      <c r="E55" s="4"/>
    </row>
    <row r="56" spans="1:6" x14ac:dyDescent="0.25">
      <c r="A56" s="8" t="s">
        <v>21</v>
      </c>
      <c r="B56" s="8"/>
      <c r="C56" s="8"/>
      <c r="D56" s="9">
        <f>+C36</f>
        <v>2942.8210986685167</v>
      </c>
      <c r="E56" s="9"/>
    </row>
    <row r="57" spans="1:6" x14ac:dyDescent="0.25">
      <c r="A57" s="8" t="s">
        <v>19</v>
      </c>
      <c r="B57" s="8"/>
      <c r="C57" s="8"/>
      <c r="D57" s="9"/>
      <c r="E57" s="9">
        <f>+D56</f>
        <v>2942.8210986685167</v>
      </c>
      <c r="F57" s="37">
        <f>+F49+E57-D58</f>
        <v>79515.436060869499</v>
      </c>
    </row>
    <row r="58" spans="1:6" x14ac:dyDescent="0.25">
      <c r="A58" s="12" t="s">
        <v>19</v>
      </c>
      <c r="B58" s="12"/>
      <c r="C58" s="12"/>
      <c r="D58" s="13">
        <f>-D36</f>
        <v>17427.38503779902</v>
      </c>
      <c r="E58" s="13"/>
    </row>
    <row r="59" spans="1:6" x14ac:dyDescent="0.25">
      <c r="A59" s="12" t="s">
        <v>18</v>
      </c>
      <c r="B59" s="12"/>
      <c r="C59" s="12"/>
      <c r="D59" s="13"/>
      <c r="E59" s="13">
        <f>+D58</f>
        <v>17427.38503779902</v>
      </c>
    </row>
    <row r="60" spans="1:6" x14ac:dyDescent="0.25">
      <c r="A60" s="10">
        <v>2</v>
      </c>
      <c r="D60" s="4"/>
      <c r="E60" s="4"/>
    </row>
    <row r="61" spans="1:6" x14ac:dyDescent="0.25">
      <c r="A61" s="8" t="s">
        <v>21</v>
      </c>
      <c r="B61" s="8"/>
      <c r="C61" s="8"/>
      <c r="D61" s="9">
        <f>VLOOKUP(A60,$A$36:$E$40,3,FALSE)</f>
        <v>2489.3585415931298</v>
      </c>
      <c r="E61" s="9"/>
    </row>
    <row r="62" spans="1:6" x14ac:dyDescent="0.25">
      <c r="A62" s="8" t="s">
        <v>19</v>
      </c>
      <c r="B62" s="8"/>
      <c r="C62" s="8"/>
      <c r="D62" s="9"/>
      <c r="E62" s="9">
        <f>+D61</f>
        <v>2489.3585415931298</v>
      </c>
      <c r="F62" s="37">
        <f>+F57+E62-D63</f>
        <v>64577.409564663612</v>
      </c>
    </row>
    <row r="63" spans="1:6" x14ac:dyDescent="0.25">
      <c r="A63" s="12" t="s">
        <v>19</v>
      </c>
      <c r="B63" s="12"/>
      <c r="C63" s="12"/>
      <c r="D63" s="13">
        <f>-D37</f>
        <v>17427.38503779902</v>
      </c>
      <c r="E63" s="13"/>
    </row>
    <row r="64" spans="1:6" x14ac:dyDescent="0.25">
      <c r="A64" s="12" t="s">
        <v>18</v>
      </c>
      <c r="B64" s="12"/>
      <c r="C64" s="12"/>
      <c r="D64" s="13"/>
      <c r="E64" s="13">
        <f>+D63</f>
        <v>17427.38503779902</v>
      </c>
    </row>
    <row r="65" spans="1:6" x14ac:dyDescent="0.25">
      <c r="A65" s="10">
        <v>3</v>
      </c>
      <c r="D65" s="4"/>
      <c r="E65" s="4"/>
    </row>
    <row r="66" spans="1:6" x14ac:dyDescent="0.25">
      <c r="A66" s="8" t="s">
        <v>21</v>
      </c>
      <c r="B66" s="8"/>
      <c r="C66" s="8"/>
      <c r="D66" s="9">
        <f>VLOOKUP(A65,$A$36:$E$40,3,FALSE)</f>
        <v>2021.6996102579803</v>
      </c>
      <c r="E66" s="9"/>
    </row>
    <row r="67" spans="1:6" x14ac:dyDescent="0.25">
      <c r="A67" s="8" t="s">
        <v>19</v>
      </c>
      <c r="B67" s="8"/>
      <c r="C67" s="8"/>
      <c r="D67" s="9"/>
      <c r="E67" s="9">
        <f>+D66</f>
        <v>2021.6996102579803</v>
      </c>
      <c r="F67" s="37">
        <f>+F62+E67-D68</f>
        <v>49171.724137122583</v>
      </c>
    </row>
    <row r="68" spans="1:6" x14ac:dyDescent="0.25">
      <c r="A68" s="12" t="s">
        <v>19</v>
      </c>
      <c r="B68" s="12"/>
      <c r="C68" s="12"/>
      <c r="D68" s="13">
        <f>-D38</f>
        <v>17427.38503779902</v>
      </c>
      <c r="E68" s="13"/>
    </row>
    <row r="69" spans="1:6" x14ac:dyDescent="0.25">
      <c r="A69" s="12" t="s">
        <v>18</v>
      </c>
      <c r="B69" s="12"/>
      <c r="C69" s="12"/>
      <c r="D69" s="13"/>
      <c r="E69" s="13">
        <f>+D68</f>
        <v>17427.38503779902</v>
      </c>
    </row>
    <row r="70" spans="1:6" x14ac:dyDescent="0.25">
      <c r="A70" s="10">
        <v>4</v>
      </c>
      <c r="D70" s="4"/>
      <c r="E70" s="4"/>
    </row>
    <row r="71" spans="1:6" x14ac:dyDescent="0.25">
      <c r="A71" s="8" t="s">
        <v>21</v>
      </c>
      <c r="B71" s="8"/>
      <c r="C71" s="8"/>
      <c r="D71" s="9">
        <f>VLOOKUP(A70,$A$36:$E$40,3,FALSE)</f>
        <v>1539.3998643471523</v>
      </c>
      <c r="E71" s="9"/>
    </row>
    <row r="72" spans="1:6" x14ac:dyDescent="0.25">
      <c r="A72" s="8" t="s">
        <v>19</v>
      </c>
      <c r="B72" s="8"/>
      <c r="C72" s="8"/>
      <c r="D72" s="9"/>
      <c r="E72" s="9">
        <f>+D71</f>
        <v>1539.3998643471523</v>
      </c>
      <c r="F72" s="37">
        <f>+F67+E72-D73</f>
        <v>33283.738963670708</v>
      </c>
    </row>
    <row r="73" spans="1:6" x14ac:dyDescent="0.25">
      <c r="A73" s="12" t="s">
        <v>19</v>
      </c>
      <c r="B73" s="12"/>
      <c r="C73" s="12"/>
      <c r="D73" s="13">
        <f>-VLOOKUP(A70,$A$36:$E$40,4,FALSE)</f>
        <v>17427.38503779902</v>
      </c>
      <c r="E73" s="13"/>
    </row>
    <row r="74" spans="1:6" x14ac:dyDescent="0.25">
      <c r="A74" s="12" t="s">
        <v>18</v>
      </c>
      <c r="B74" s="12"/>
      <c r="C74" s="12"/>
      <c r="D74" s="13"/>
      <c r="E74" s="13">
        <f>+D73</f>
        <v>17427.38503779902</v>
      </c>
    </row>
    <row r="75" spans="1:6" x14ac:dyDescent="0.25">
      <c r="A75" s="10">
        <v>5</v>
      </c>
      <c r="D75" s="4"/>
      <c r="E75" s="4"/>
    </row>
    <row r="76" spans="1:6" x14ac:dyDescent="0.25">
      <c r="A76" s="8" t="s">
        <v>21</v>
      </c>
      <c r="B76" s="8"/>
      <c r="C76" s="8"/>
      <c r="D76" s="9">
        <f>VLOOKUP(A75,$A$36:$E$40,3,FALSE)</f>
        <v>1042.0009496262294</v>
      </c>
      <c r="E76" s="9"/>
    </row>
    <row r="77" spans="1:6" x14ac:dyDescent="0.25">
      <c r="A77" s="8" t="s">
        <v>19</v>
      </c>
      <c r="B77" s="8"/>
      <c r="C77" s="8"/>
      <c r="D77" s="9"/>
      <c r="E77" s="9">
        <f>+D76</f>
        <v>1042.0009496262294</v>
      </c>
      <c r="F77" s="37">
        <f>+F72+E77-D78</f>
        <v>16898.354875497917</v>
      </c>
    </row>
    <row r="78" spans="1:6" x14ac:dyDescent="0.25">
      <c r="A78" s="12" t="s">
        <v>19</v>
      </c>
      <c r="B78" s="12"/>
      <c r="C78" s="12"/>
      <c r="D78" s="13">
        <f>-VLOOKUP(A75,$A$36:$E$40,4,FALSE)</f>
        <v>17427.38503779902</v>
      </c>
      <c r="E78" s="13"/>
    </row>
    <row r="79" spans="1:6" x14ac:dyDescent="0.25">
      <c r="A79" s="12" t="s">
        <v>18</v>
      </c>
      <c r="B79" s="12"/>
      <c r="C79" s="12"/>
      <c r="D79" s="13"/>
      <c r="E79" s="13">
        <f>+D78</f>
        <v>17427.38503779902</v>
      </c>
    </row>
    <row r="80" spans="1:6" x14ac:dyDescent="0.25">
      <c r="A80" s="10">
        <v>6</v>
      </c>
      <c r="D80" s="4"/>
      <c r="E80" s="4"/>
    </row>
    <row r="81" spans="1:6" x14ac:dyDescent="0.25">
      <c r="A81" s="8" t="s">
        <v>21</v>
      </c>
      <c r="B81" s="8"/>
      <c r="C81" s="8"/>
      <c r="D81" s="9">
        <f>+C41</f>
        <v>529.03016234471556</v>
      </c>
      <c r="E81" s="9"/>
    </row>
    <row r="82" spans="1:6" x14ac:dyDescent="0.25">
      <c r="A82" s="8" t="s">
        <v>19</v>
      </c>
      <c r="B82" s="8"/>
      <c r="C82" s="8"/>
      <c r="D82" s="9"/>
      <c r="E82" s="9">
        <f>+D81</f>
        <v>529.03016234471556</v>
      </c>
      <c r="F82" s="37">
        <f>+F77+E82-D83</f>
        <v>4.3612089939415455E-8</v>
      </c>
    </row>
    <row r="83" spans="1:6" x14ac:dyDescent="0.25">
      <c r="A83" s="12" t="s">
        <v>19</v>
      </c>
      <c r="B83" s="12"/>
      <c r="C83" s="12"/>
      <c r="D83" s="13">
        <f>-D41</f>
        <v>17427.38503779902</v>
      </c>
      <c r="E83" s="13"/>
    </row>
    <row r="84" spans="1:6" x14ac:dyDescent="0.25">
      <c r="A84" s="12" t="s">
        <v>18</v>
      </c>
      <c r="B84" s="12"/>
      <c r="C84" s="12"/>
      <c r="D84" s="13"/>
      <c r="E84" s="13">
        <f>+D83</f>
        <v>17427.38503779902</v>
      </c>
    </row>
    <row r="85" spans="1:6" ht="15.75" thickBot="1" x14ac:dyDescent="0.3"/>
    <row r="86" spans="1:6" x14ac:dyDescent="0.25">
      <c r="B86" s="52" t="s">
        <v>25</v>
      </c>
      <c r="C86" s="53"/>
      <c r="D86" s="53"/>
      <c r="E86" s="53"/>
      <c r="F86" s="54"/>
    </row>
    <row r="87" spans="1:6" x14ac:dyDescent="0.25">
      <c r="B87" s="55" t="s">
        <v>40</v>
      </c>
      <c r="C87" s="56"/>
      <c r="D87" s="56"/>
      <c r="E87" s="56"/>
      <c r="F87" s="57"/>
    </row>
    <row r="88" spans="1:6" x14ac:dyDescent="0.25">
      <c r="B88" s="55" t="s">
        <v>41</v>
      </c>
      <c r="C88" s="56" t="s">
        <v>42</v>
      </c>
      <c r="D88" s="56" t="s">
        <v>43</v>
      </c>
      <c r="E88" s="56" t="s">
        <v>43</v>
      </c>
      <c r="F88" s="57" t="s">
        <v>44</v>
      </c>
    </row>
    <row r="89" spans="1:6" x14ac:dyDescent="0.25">
      <c r="A89">
        <v>0</v>
      </c>
      <c r="B89" s="46"/>
      <c r="C89" s="47"/>
      <c r="D89" s="47">
        <v>5000</v>
      </c>
      <c r="E89" s="47">
        <v>1000</v>
      </c>
      <c r="F89" s="48">
        <f>SUM(B89:E89)</f>
        <v>6000</v>
      </c>
    </row>
    <row r="90" spans="1:6" x14ac:dyDescent="0.25">
      <c r="A90">
        <f>+A89+1</f>
        <v>1</v>
      </c>
      <c r="B90" s="46">
        <f>+C10</f>
        <v>1000</v>
      </c>
      <c r="C90" s="47">
        <f>++-E26</f>
        <v>172.5483667108814</v>
      </c>
      <c r="D90" s="47"/>
      <c r="E90" s="47"/>
      <c r="F90" s="48">
        <f>SUM(B90:E90)</f>
        <v>1172.5483667108815</v>
      </c>
    </row>
    <row r="91" spans="1:6" x14ac:dyDescent="0.25">
      <c r="A91">
        <f t="shared" ref="A91:A95" si="9">+A90+1</f>
        <v>2</v>
      </c>
      <c r="B91" s="46">
        <f>+C11</f>
        <v>837.4516332891186</v>
      </c>
      <c r="C91" s="47">
        <f>++-E27</f>
        <v>172.5483667108814</v>
      </c>
      <c r="D91" s="47"/>
      <c r="E91" s="47"/>
      <c r="F91" s="48">
        <f>SUM(B91:E91)</f>
        <v>1010</v>
      </c>
    </row>
    <row r="92" spans="1:6" x14ac:dyDescent="0.25">
      <c r="A92">
        <f t="shared" si="9"/>
        <v>3</v>
      </c>
      <c r="B92" s="46">
        <f>+C12</f>
        <v>673.27778291112827</v>
      </c>
      <c r="C92" s="47">
        <f>++-E28</f>
        <v>172.5483667108814</v>
      </c>
      <c r="D92" s="47"/>
      <c r="E92" s="47"/>
      <c r="F92" s="48">
        <f>SUM(B92:E92)</f>
        <v>845.82614962200967</v>
      </c>
    </row>
    <row r="93" spans="1:6" x14ac:dyDescent="0.25">
      <c r="A93">
        <f t="shared" si="9"/>
        <v>4</v>
      </c>
      <c r="B93" s="46">
        <f>+C13</f>
        <v>507.46219402935822</v>
      </c>
      <c r="C93" s="47">
        <f>++-E29</f>
        <v>172.5483667108814</v>
      </c>
      <c r="D93" s="47"/>
      <c r="E93" s="47"/>
      <c r="F93" s="48">
        <f>SUM(B93:E93)</f>
        <v>680.01056074023961</v>
      </c>
    </row>
    <row r="94" spans="1:6" x14ac:dyDescent="0.25">
      <c r="A94">
        <f t="shared" si="9"/>
        <v>5</v>
      </c>
      <c r="B94" s="46">
        <f>+C14</f>
        <v>339.9884492587704</v>
      </c>
      <c r="C94" s="47">
        <f>++-E30</f>
        <v>172.5483667108814</v>
      </c>
      <c r="D94" s="47"/>
      <c r="E94" s="47"/>
      <c r="F94" s="48">
        <f>SUM(B94:E94)</f>
        <v>512.5368159696518</v>
      </c>
    </row>
    <row r="95" spans="1:6" ht="15.75" thickBot="1" x14ac:dyDescent="0.3">
      <c r="A95">
        <f t="shared" si="9"/>
        <v>6</v>
      </c>
      <c r="B95" s="49">
        <f>+C15</f>
        <v>170.83996704047667</v>
      </c>
      <c r="C95" s="50">
        <f>++-E31</f>
        <v>172.5483667108814</v>
      </c>
      <c r="D95" s="50"/>
      <c r="E95" s="50"/>
      <c r="F95" s="51">
        <f>SUM(B95:E95)</f>
        <v>343.38833375135806</v>
      </c>
    </row>
    <row r="96" spans="1:6" x14ac:dyDescent="0.25">
      <c r="B96" s="4"/>
      <c r="C96" s="4"/>
      <c r="D96" s="4"/>
      <c r="E96" s="4"/>
      <c r="F96" s="41">
        <f>SUM(F89:F95)</f>
        <v>10564.310226794141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03D1F-059D-4DEB-BE9E-B427C63D6A4E}">
  <dimension ref="A1:G74"/>
  <sheetViews>
    <sheetView topLeftCell="A43" zoomScale="115" zoomScaleNormal="115" workbookViewId="0">
      <selection activeCell="C67" sqref="A67:C67"/>
    </sheetView>
  </sheetViews>
  <sheetFormatPr baseColWidth="10" defaultRowHeight="15" x14ac:dyDescent="0.25"/>
  <cols>
    <col min="1" max="1" width="5.85546875" customWidth="1"/>
    <col min="2" max="2" width="12.140625" bestFit="1" customWidth="1"/>
    <col min="3" max="3" width="9.28515625" bestFit="1" customWidth="1"/>
    <col min="5" max="5" width="10.140625" customWidth="1"/>
  </cols>
  <sheetData>
    <row r="1" spans="1:6" x14ac:dyDescent="0.25">
      <c r="A1" s="29" t="s">
        <v>0</v>
      </c>
      <c r="B1" s="30">
        <v>100000</v>
      </c>
      <c r="C1" s="29"/>
      <c r="D1" s="29"/>
    </row>
    <row r="2" spans="1:6" x14ac:dyDescent="0.25">
      <c r="A2" s="29" t="s">
        <v>1</v>
      </c>
      <c r="B2" s="5">
        <v>0.01</v>
      </c>
      <c r="C2" s="29"/>
      <c r="D2" s="29"/>
    </row>
    <row r="3" spans="1:6" x14ac:dyDescent="0.25">
      <c r="A3" s="29" t="s">
        <v>2</v>
      </c>
      <c r="B3" s="29">
        <v>6</v>
      </c>
      <c r="C3" s="31"/>
      <c r="D3" s="31"/>
    </row>
    <row r="4" spans="1:6" x14ac:dyDescent="0.25">
      <c r="A4" s="29" t="s">
        <v>4</v>
      </c>
      <c r="B4" s="30">
        <f>-PMT(B2,B3,B1,0,0)</f>
        <v>17254.836671088142</v>
      </c>
      <c r="C4" s="31"/>
      <c r="D4" s="31"/>
    </row>
    <row r="5" spans="1:6" x14ac:dyDescent="0.25">
      <c r="A5" s="29" t="s">
        <v>5</v>
      </c>
      <c r="B5" s="32">
        <v>0.05</v>
      </c>
      <c r="C5" s="31"/>
      <c r="D5" s="33">
        <f>+B1*B5</f>
        <v>5000</v>
      </c>
    </row>
    <row r="7" spans="1:6" x14ac:dyDescent="0.25">
      <c r="A7" s="1" t="s">
        <v>23</v>
      </c>
    </row>
    <row r="8" spans="1:6" x14ac:dyDescent="0.25">
      <c r="B8" s="23" t="s">
        <v>24</v>
      </c>
      <c r="C8" s="23" t="s">
        <v>25</v>
      </c>
      <c r="D8" s="23" t="s">
        <v>4</v>
      </c>
      <c r="F8" s="5">
        <f>IRR(F9:F15)</f>
        <v>2.5131560950704124E-2</v>
      </c>
    </row>
    <row r="9" spans="1:6" x14ac:dyDescent="0.25">
      <c r="A9" s="1">
        <v>0</v>
      </c>
      <c r="B9" s="23"/>
      <c r="C9" s="23"/>
      <c r="D9" s="23"/>
      <c r="F9" s="33">
        <f>+B1*(1-B5)</f>
        <v>95000</v>
      </c>
    </row>
    <row r="10" spans="1:6" x14ac:dyDescent="0.25">
      <c r="A10" s="1">
        <v>1</v>
      </c>
      <c r="B10" s="24">
        <f>-PPMT($B$2,$A10,$A$15,$B$1,0,0)</f>
        <v>16254.83667108814</v>
      </c>
      <c r="C10" s="24">
        <f>-IPMT($B$2,$A10,$A$15,$B$1,0,0)</f>
        <v>1000</v>
      </c>
      <c r="D10" s="26">
        <f>+B10+C10</f>
        <v>17254.836671088138</v>
      </c>
      <c r="F10" s="4">
        <f>-D10</f>
        <v>-17254.836671088138</v>
      </c>
    </row>
    <row r="11" spans="1:6" x14ac:dyDescent="0.25">
      <c r="A11" s="1">
        <f t="shared" ref="A11:A15" si="0">+A10+1</f>
        <v>2</v>
      </c>
      <c r="B11" s="24">
        <f>-PPMT($B$2,$A11,$A$15,$B$1,0,0)</f>
        <v>16417.38503779902</v>
      </c>
      <c r="C11" s="24">
        <f>-IPMT($B$2,$A11,$A$15,$B$1,0,0)</f>
        <v>837.4516332891186</v>
      </c>
      <c r="D11" s="26">
        <f>+B11+C11</f>
        <v>17254.836671088138</v>
      </c>
      <c r="F11" s="4">
        <f>-D11</f>
        <v>-17254.836671088138</v>
      </c>
    </row>
    <row r="12" spans="1:6" x14ac:dyDescent="0.25">
      <c r="A12" s="1">
        <f t="shared" si="0"/>
        <v>3</v>
      </c>
      <c r="B12" s="24">
        <f>-PPMT($B$2,$A12,$A$15,$B$1,0,0)</f>
        <v>16581.558888177013</v>
      </c>
      <c r="C12" s="24">
        <f>-IPMT($B$2,$A12,$A$15,$B$1,0,0)</f>
        <v>673.27778291112827</v>
      </c>
      <c r="D12" s="26">
        <f>+B12+C12</f>
        <v>17254.836671088142</v>
      </c>
      <c r="F12" s="4">
        <f>-D12</f>
        <v>-17254.836671088142</v>
      </c>
    </row>
    <row r="13" spans="1:6" x14ac:dyDescent="0.25">
      <c r="A13" s="1">
        <f t="shared" si="0"/>
        <v>4</v>
      </c>
      <c r="B13" s="24">
        <f>-PPMT($B$2,$A13,$A$15,$B$1,0,0)</f>
        <v>16747.374477058784</v>
      </c>
      <c r="C13" s="24">
        <f>-IPMT($B$2,$A13,$A$15,$B$1,0,0)</f>
        <v>507.46219402935822</v>
      </c>
      <c r="D13" s="26">
        <f>+B13+C13</f>
        <v>17254.836671088142</v>
      </c>
      <c r="F13" s="4">
        <f>-D13</f>
        <v>-17254.836671088142</v>
      </c>
    </row>
    <row r="14" spans="1:6" x14ac:dyDescent="0.25">
      <c r="A14" s="1">
        <f t="shared" si="0"/>
        <v>5</v>
      </c>
      <c r="B14" s="24">
        <f>-PPMT($B$2,$A14,$A$15,$B$1,0,0)</f>
        <v>16914.848221829368</v>
      </c>
      <c r="C14" s="24">
        <f>-IPMT($B$2,$A14,$A$15,$B$1,0,0)</f>
        <v>339.9884492587704</v>
      </c>
      <c r="D14" s="26">
        <f>+B14+C14</f>
        <v>17254.836671088138</v>
      </c>
      <c r="F14" s="4">
        <f>-D14</f>
        <v>-17254.836671088138</v>
      </c>
    </row>
    <row r="15" spans="1:6" x14ac:dyDescent="0.25">
      <c r="A15" s="1">
        <f t="shared" si="0"/>
        <v>6</v>
      </c>
      <c r="B15" s="24">
        <f>-PPMT($B$2,$A15,$A$15,$B$1,0,0)</f>
        <v>17083.996704047662</v>
      </c>
      <c r="C15" s="24">
        <f>-IPMT($B$2,$A15,$A$15,$B$1,0,0)</f>
        <v>170.83996704047667</v>
      </c>
      <c r="D15" s="26">
        <f>+B15+C15</f>
        <v>17254.836671088138</v>
      </c>
      <c r="F15" s="4">
        <f>-D15</f>
        <v>-17254.836671088138</v>
      </c>
    </row>
    <row r="16" spans="1:6" x14ac:dyDescent="0.25">
      <c r="A16" s="1"/>
      <c r="B16" s="25">
        <f>SUM(B10:B15)</f>
        <v>99999.999999999985</v>
      </c>
      <c r="C16" s="25">
        <f t="shared" ref="C16:D16" si="1">SUM(C10:C15)</f>
        <v>3529.0200265288518</v>
      </c>
      <c r="D16" s="25">
        <f t="shared" si="1"/>
        <v>103529.02002652883</v>
      </c>
    </row>
    <row r="18" spans="1:7" x14ac:dyDescent="0.25">
      <c r="A18" s="1" t="s">
        <v>8</v>
      </c>
      <c r="B18" s="1" t="s">
        <v>9</v>
      </c>
      <c r="C18" s="1"/>
    </row>
    <row r="20" spans="1:7" x14ac:dyDescent="0.25">
      <c r="B20" s="6" t="s">
        <v>10</v>
      </c>
      <c r="C20" s="6" t="s">
        <v>11</v>
      </c>
      <c r="D20" s="6" t="s">
        <v>12</v>
      </c>
      <c r="E20" s="6" t="s">
        <v>13</v>
      </c>
      <c r="G20" s="4">
        <f>+C21-C10</f>
        <v>1387.4982903168916</v>
      </c>
    </row>
    <row r="21" spans="1:7" x14ac:dyDescent="0.25">
      <c r="A21">
        <f>+A20+1</f>
        <v>1</v>
      </c>
      <c r="B21" s="28">
        <f>+F9</f>
        <v>95000</v>
      </c>
      <c r="C21" s="27">
        <f>+B21*$F$8</f>
        <v>2387.4982903168916</v>
      </c>
      <c r="D21" s="27">
        <f>-D10</f>
        <v>-17254.836671088138</v>
      </c>
      <c r="E21" s="37">
        <f>+B21+C21+D21</f>
        <v>80132.661619228747</v>
      </c>
      <c r="G21" s="4">
        <f>+C22-C11</f>
        <v>1176.4072363366777</v>
      </c>
    </row>
    <row r="22" spans="1:7" x14ac:dyDescent="0.25">
      <c r="A22">
        <f t="shared" ref="A22:A26" si="2">+A21+1</f>
        <v>2</v>
      </c>
      <c r="B22" s="28">
        <f>+E21</f>
        <v>80132.661619228747</v>
      </c>
      <c r="C22" s="27">
        <f>+B22*$F$8</f>
        <v>2013.8588696257962</v>
      </c>
      <c r="D22" s="27">
        <f>-D11</f>
        <v>-17254.836671088138</v>
      </c>
      <c r="E22" s="37">
        <f>+B22+C22+D22</f>
        <v>64891.683817766403</v>
      </c>
      <c r="G22" s="4">
        <f>+C23-C12</f>
        <v>957.55152414888857</v>
      </c>
    </row>
    <row r="23" spans="1:7" x14ac:dyDescent="0.25">
      <c r="A23">
        <f t="shared" si="2"/>
        <v>3</v>
      </c>
      <c r="B23" s="28">
        <f t="shared" ref="B23:B26" si="3">+E22</f>
        <v>64891.683817766403</v>
      </c>
      <c r="C23" s="27">
        <f t="shared" ref="C23:C26" si="4">+B23*$F$8</f>
        <v>1630.8293070600168</v>
      </c>
      <c r="D23" s="27">
        <f t="shared" ref="D23:D26" si="5">-D12</f>
        <v>-17254.836671088142</v>
      </c>
      <c r="E23" s="37">
        <f t="shared" ref="E23:E26" si="6">+B23+C23+D23</f>
        <v>49267.676453738284</v>
      </c>
      <c r="G23" s="4">
        <f>+C24-C13</f>
        <v>730.7114196673358</v>
      </c>
    </row>
    <row r="24" spans="1:7" x14ac:dyDescent="0.25">
      <c r="A24">
        <f t="shared" si="2"/>
        <v>4</v>
      </c>
      <c r="B24" s="28">
        <f t="shared" si="3"/>
        <v>49267.676453738284</v>
      </c>
      <c r="C24" s="27">
        <f t="shared" si="4"/>
        <v>1238.173613696694</v>
      </c>
      <c r="D24" s="27">
        <f t="shared" si="5"/>
        <v>-17254.836671088142</v>
      </c>
      <c r="E24" s="28">
        <f t="shared" si="6"/>
        <v>33251.01339634684</v>
      </c>
      <c r="G24" s="4">
        <f>+C25-C14</f>
        <v>495.6614205841995</v>
      </c>
    </row>
    <row r="25" spans="1:7" x14ac:dyDescent="0.25">
      <c r="A25">
        <f t="shared" si="2"/>
        <v>5</v>
      </c>
      <c r="B25" s="28">
        <f t="shared" si="3"/>
        <v>33251.01339634684</v>
      </c>
      <c r="C25" s="27">
        <f t="shared" si="4"/>
        <v>835.64986984296991</v>
      </c>
      <c r="D25" s="27">
        <f t="shared" si="5"/>
        <v>-17254.836671088138</v>
      </c>
      <c r="E25" s="28">
        <f t="shared" si="6"/>
        <v>16831.826595101673</v>
      </c>
      <c r="G25" s="4">
        <f>+C26-C15</f>
        <v>252.17010894600367</v>
      </c>
    </row>
    <row r="26" spans="1:7" x14ac:dyDescent="0.25">
      <c r="A26">
        <f t="shared" si="2"/>
        <v>6</v>
      </c>
      <c r="B26" s="28">
        <f t="shared" si="3"/>
        <v>16831.826595101673</v>
      </c>
      <c r="C26" s="27">
        <f t="shared" si="4"/>
        <v>423.01007598648033</v>
      </c>
      <c r="D26" s="27">
        <f t="shared" si="5"/>
        <v>-17254.836671088138</v>
      </c>
      <c r="E26" s="28">
        <f t="shared" si="6"/>
        <v>0</v>
      </c>
      <c r="G26" s="34">
        <f>SUM(G20:G25)</f>
        <v>4999.9999999999973</v>
      </c>
    </row>
    <row r="27" spans="1:7" x14ac:dyDescent="0.25">
      <c r="C27" s="25">
        <f>SUM(C21:C26)</f>
        <v>8529.0200265288477</v>
      </c>
      <c r="D27" s="4"/>
    </row>
    <row r="28" spans="1:7" x14ac:dyDescent="0.25">
      <c r="A28" s="10"/>
      <c r="C28" s="33">
        <f>+C27-C16</f>
        <v>4999.9999999999964</v>
      </c>
      <c r="D28" s="4"/>
      <c r="E28" s="4"/>
    </row>
    <row r="29" spans="1:7" x14ac:dyDescent="0.25">
      <c r="A29" s="10"/>
      <c r="D29" s="4"/>
      <c r="E29" s="4"/>
    </row>
    <row r="30" spans="1:7" x14ac:dyDescent="0.25">
      <c r="A30" s="10"/>
      <c r="D30" s="6" t="s">
        <v>16</v>
      </c>
      <c r="E30" s="6" t="s">
        <v>17</v>
      </c>
    </row>
    <row r="31" spans="1:7" x14ac:dyDescent="0.25">
      <c r="A31" s="35" t="s">
        <v>18</v>
      </c>
      <c r="B31" s="35"/>
      <c r="C31" s="35"/>
      <c r="D31" s="36">
        <f>+F9</f>
        <v>95000</v>
      </c>
      <c r="E31" s="36"/>
    </row>
    <row r="32" spans="1:7" x14ac:dyDescent="0.25">
      <c r="A32" s="35" t="s">
        <v>19</v>
      </c>
      <c r="B32" s="35"/>
      <c r="C32" s="35"/>
      <c r="D32" s="36"/>
      <c r="E32" s="36">
        <f>+D31</f>
        <v>95000</v>
      </c>
    </row>
    <row r="33" spans="1:6" x14ac:dyDescent="0.25">
      <c r="D33" s="4"/>
      <c r="E33" s="4"/>
    </row>
    <row r="34" spans="1:6" x14ac:dyDescent="0.25">
      <c r="A34" s="10">
        <v>1</v>
      </c>
      <c r="D34" s="4"/>
      <c r="E34" s="4"/>
    </row>
    <row r="35" spans="1:6" x14ac:dyDescent="0.25">
      <c r="A35" s="8" t="s">
        <v>21</v>
      </c>
      <c r="B35" s="8"/>
      <c r="C35" s="8"/>
      <c r="D35" s="9">
        <f>+C21</f>
        <v>2387.4982903168916</v>
      </c>
      <c r="E35" s="9"/>
    </row>
    <row r="36" spans="1:6" x14ac:dyDescent="0.25">
      <c r="A36" s="8" t="s">
        <v>19</v>
      </c>
      <c r="B36" s="8"/>
      <c r="C36" s="8"/>
      <c r="D36" s="9"/>
      <c r="E36" s="9">
        <f>+D35</f>
        <v>2387.4982903168916</v>
      </c>
      <c r="F36" s="37">
        <f>+E32+E36-D37</f>
        <v>80132.661619228747</v>
      </c>
    </row>
    <row r="37" spans="1:6" x14ac:dyDescent="0.25">
      <c r="A37" s="12" t="s">
        <v>19</v>
      </c>
      <c r="B37" s="12"/>
      <c r="C37" s="12"/>
      <c r="D37" s="13">
        <f>-D21</f>
        <v>17254.836671088138</v>
      </c>
      <c r="E37" s="13"/>
    </row>
    <row r="38" spans="1:6" x14ac:dyDescent="0.25">
      <c r="A38" s="12" t="s">
        <v>18</v>
      </c>
      <c r="B38" s="12"/>
      <c r="C38" s="12"/>
      <c r="D38" s="13"/>
      <c r="E38" s="13">
        <f>+D37</f>
        <v>17254.836671088138</v>
      </c>
    </row>
    <row r="39" spans="1:6" x14ac:dyDescent="0.25">
      <c r="A39" s="10">
        <v>2</v>
      </c>
      <c r="D39" s="4"/>
      <c r="E39" s="4"/>
    </row>
    <row r="40" spans="1:6" x14ac:dyDescent="0.25">
      <c r="A40" s="8" t="s">
        <v>21</v>
      </c>
      <c r="B40" s="8"/>
      <c r="C40" s="8"/>
      <c r="D40" s="9">
        <f>VLOOKUP(A39,$A$21:$E$25,3,FALSE)</f>
        <v>2013.8588696257962</v>
      </c>
      <c r="E40" s="9"/>
    </row>
    <row r="41" spans="1:6" x14ac:dyDescent="0.25">
      <c r="A41" s="8" t="s">
        <v>19</v>
      </c>
      <c r="B41" s="8"/>
      <c r="C41" s="8"/>
      <c r="D41" s="9"/>
      <c r="E41" s="9">
        <f>+D40</f>
        <v>2013.8588696257962</v>
      </c>
      <c r="F41" s="37">
        <f>+F36+E41-D42</f>
        <v>64891.683817766403</v>
      </c>
    </row>
    <row r="42" spans="1:6" x14ac:dyDescent="0.25">
      <c r="A42" s="12" t="s">
        <v>19</v>
      </c>
      <c r="B42" s="12"/>
      <c r="C42" s="12"/>
      <c r="D42" s="13">
        <f>-D22</f>
        <v>17254.836671088138</v>
      </c>
      <c r="E42" s="13"/>
    </row>
    <row r="43" spans="1:6" x14ac:dyDescent="0.25">
      <c r="A43" s="12" t="s">
        <v>18</v>
      </c>
      <c r="B43" s="12"/>
      <c r="C43" s="12"/>
      <c r="D43" s="13"/>
      <c r="E43" s="13">
        <f>+D42</f>
        <v>17254.836671088138</v>
      </c>
    </row>
    <row r="44" spans="1:6" x14ac:dyDescent="0.25">
      <c r="A44" s="10">
        <v>3</v>
      </c>
      <c r="D44" s="4"/>
      <c r="E44" s="4"/>
    </row>
    <row r="45" spans="1:6" x14ac:dyDescent="0.25">
      <c r="A45" s="8" t="s">
        <v>21</v>
      </c>
      <c r="B45" s="8"/>
      <c r="C45" s="8"/>
      <c r="D45" s="9">
        <f>VLOOKUP(A44,$A$21:$E$25,3,FALSE)</f>
        <v>1630.8293070600168</v>
      </c>
      <c r="E45" s="9"/>
    </row>
    <row r="46" spans="1:6" x14ac:dyDescent="0.25">
      <c r="A46" s="8" t="s">
        <v>19</v>
      </c>
      <c r="B46" s="8"/>
      <c r="C46" s="8"/>
      <c r="D46" s="9"/>
      <c r="E46" s="9">
        <f>+D45</f>
        <v>1630.8293070600168</v>
      </c>
      <c r="F46" s="37">
        <f>+F41+E46-D47</f>
        <v>49267.676453738284</v>
      </c>
    </row>
    <row r="47" spans="1:6" x14ac:dyDescent="0.25">
      <c r="A47" s="12" t="s">
        <v>19</v>
      </c>
      <c r="B47" s="12"/>
      <c r="C47" s="12"/>
      <c r="D47" s="13">
        <f>-D23</f>
        <v>17254.836671088142</v>
      </c>
      <c r="E47" s="13"/>
    </row>
    <row r="48" spans="1:6" x14ac:dyDescent="0.25">
      <c r="A48" s="12" t="s">
        <v>18</v>
      </c>
      <c r="B48" s="12"/>
      <c r="C48" s="12"/>
      <c r="D48" s="13"/>
      <c r="E48" s="13">
        <f>+D47</f>
        <v>17254.836671088142</v>
      </c>
    </row>
    <row r="49" spans="1:6" x14ac:dyDescent="0.25">
      <c r="A49" s="10">
        <v>4</v>
      </c>
      <c r="D49" s="4"/>
      <c r="E49" s="4"/>
    </row>
    <row r="50" spans="1:6" x14ac:dyDescent="0.25">
      <c r="A50" s="8" t="s">
        <v>21</v>
      </c>
      <c r="B50" s="8"/>
      <c r="C50" s="8"/>
      <c r="D50" s="9">
        <f>VLOOKUP(A49,$A$21:$E$25,3,FALSE)</f>
        <v>1238.173613696694</v>
      </c>
      <c r="E50" s="9"/>
    </row>
    <row r="51" spans="1:6" x14ac:dyDescent="0.25">
      <c r="A51" s="8" t="s">
        <v>19</v>
      </c>
      <c r="B51" s="8"/>
      <c r="C51" s="8"/>
      <c r="D51" s="9"/>
      <c r="E51" s="9">
        <f>+D50</f>
        <v>1238.173613696694</v>
      </c>
      <c r="F51" s="11">
        <f>+F46+E51-D52</f>
        <v>33251.01339634684</v>
      </c>
    </row>
    <row r="52" spans="1:6" x14ac:dyDescent="0.25">
      <c r="A52" s="12" t="s">
        <v>19</v>
      </c>
      <c r="B52" s="12"/>
      <c r="C52" s="12"/>
      <c r="D52" s="13">
        <f>-VLOOKUP(A49,$A$21:$E$25,4,FALSE)</f>
        <v>17254.836671088142</v>
      </c>
      <c r="E52" s="13"/>
    </row>
    <row r="53" spans="1:6" x14ac:dyDescent="0.25">
      <c r="A53" s="12" t="s">
        <v>18</v>
      </c>
      <c r="B53" s="12"/>
      <c r="C53" s="12"/>
      <c r="D53" s="13"/>
      <c r="E53" s="13">
        <f>+D52</f>
        <v>17254.836671088142</v>
      </c>
    </row>
    <row r="54" spans="1:6" x14ac:dyDescent="0.25">
      <c r="A54" s="10">
        <v>5</v>
      </c>
      <c r="D54" s="4"/>
      <c r="E54" s="4"/>
    </row>
    <row r="55" spans="1:6" x14ac:dyDescent="0.25">
      <c r="A55" s="8" t="s">
        <v>21</v>
      </c>
      <c r="B55" s="8"/>
      <c r="C55" s="8"/>
      <c r="D55" s="9">
        <f>VLOOKUP(A54,$A$21:$E$25,3,FALSE)</f>
        <v>835.64986984296991</v>
      </c>
      <c r="E55" s="9"/>
    </row>
    <row r="56" spans="1:6" x14ac:dyDescent="0.25">
      <c r="A56" s="8" t="s">
        <v>19</v>
      </c>
      <c r="B56" s="8"/>
      <c r="C56" s="8"/>
      <c r="D56" s="9"/>
      <c r="E56" s="9">
        <f>+D55</f>
        <v>835.64986984296991</v>
      </c>
      <c r="F56" s="11">
        <f>+F51+E56-D57</f>
        <v>16831.826595101673</v>
      </c>
    </row>
    <row r="57" spans="1:6" x14ac:dyDescent="0.25">
      <c r="A57" s="12" t="s">
        <v>19</v>
      </c>
      <c r="B57" s="12"/>
      <c r="C57" s="12"/>
      <c r="D57" s="13">
        <f>-VLOOKUP(A54,$A$21:$E$25,4,FALSE)</f>
        <v>17254.836671088138</v>
      </c>
      <c r="E57" s="13"/>
    </row>
    <row r="58" spans="1:6" x14ac:dyDescent="0.25">
      <c r="A58" s="12" t="s">
        <v>18</v>
      </c>
      <c r="B58" s="12"/>
      <c r="C58" s="12"/>
      <c r="D58" s="13"/>
      <c r="E58" s="13">
        <f>+D57</f>
        <v>17254.836671088138</v>
      </c>
    </row>
    <row r="59" spans="1:6" x14ac:dyDescent="0.25">
      <c r="A59" s="10">
        <v>6</v>
      </c>
      <c r="D59" s="4"/>
      <c r="E59" s="4"/>
    </row>
    <row r="60" spans="1:6" x14ac:dyDescent="0.25">
      <c r="A60" s="8" t="s">
        <v>21</v>
      </c>
      <c r="B60" s="8"/>
      <c r="C60" s="8"/>
      <c r="D60" s="9">
        <f>+C26</f>
        <v>423.01007598648033</v>
      </c>
      <c r="E60" s="9"/>
    </row>
    <row r="61" spans="1:6" x14ac:dyDescent="0.25">
      <c r="A61" s="8" t="s">
        <v>19</v>
      </c>
      <c r="B61" s="8"/>
      <c r="C61" s="8"/>
      <c r="D61" s="9"/>
      <c r="E61" s="9">
        <f>+D60</f>
        <v>423.01007598648033</v>
      </c>
      <c r="F61" s="11">
        <f>+F56+E61-D62</f>
        <v>0</v>
      </c>
    </row>
    <row r="62" spans="1:6" x14ac:dyDescent="0.25">
      <c r="A62" s="12" t="s">
        <v>19</v>
      </c>
      <c r="B62" s="12"/>
      <c r="C62" s="12"/>
      <c r="D62" s="13">
        <f>-D26</f>
        <v>17254.836671088138</v>
      </c>
      <c r="E62" s="13"/>
    </row>
    <row r="63" spans="1:6" x14ac:dyDescent="0.25">
      <c r="A63" s="12" t="s">
        <v>18</v>
      </c>
      <c r="B63" s="12"/>
      <c r="C63" s="12"/>
      <c r="D63" s="13"/>
      <c r="E63" s="13">
        <f>+D62</f>
        <v>17254.836671088138</v>
      </c>
    </row>
    <row r="65" spans="1:4" x14ac:dyDescent="0.25">
      <c r="B65" s="40"/>
      <c r="C65" s="40" t="s">
        <v>26</v>
      </c>
      <c r="D65" s="40" t="s">
        <v>26</v>
      </c>
    </row>
    <row r="66" spans="1:4" x14ac:dyDescent="0.25">
      <c r="B66" s="40"/>
      <c r="C66" s="40" t="s">
        <v>27</v>
      </c>
      <c r="D66" s="40" t="s">
        <v>28</v>
      </c>
    </row>
    <row r="67" spans="1:4" x14ac:dyDescent="0.25">
      <c r="A67" t="s">
        <v>29</v>
      </c>
      <c r="B67" s="38">
        <v>45261</v>
      </c>
      <c r="C67" s="4">
        <f>-D5</f>
        <v>-5000</v>
      </c>
      <c r="D67">
        <v>0</v>
      </c>
    </row>
    <row r="68" spans="1:4" x14ac:dyDescent="0.25">
      <c r="A68" t="s">
        <v>30</v>
      </c>
      <c r="B68" s="38">
        <v>45292</v>
      </c>
      <c r="C68" s="4">
        <f>-C10</f>
        <v>-1000</v>
      </c>
      <c r="D68" s="4">
        <f>+-C21</f>
        <v>-2387.4982903168916</v>
      </c>
    </row>
    <row r="69" spans="1:4" x14ac:dyDescent="0.25">
      <c r="A69" t="s">
        <v>30</v>
      </c>
      <c r="B69" s="38">
        <v>45323</v>
      </c>
      <c r="C69" s="4">
        <f>-C11</f>
        <v>-837.4516332891186</v>
      </c>
      <c r="D69" s="4">
        <f>+-C22</f>
        <v>-2013.8588696257962</v>
      </c>
    </row>
    <row r="70" spans="1:4" x14ac:dyDescent="0.25">
      <c r="A70" t="s">
        <v>30</v>
      </c>
      <c r="B70" s="38">
        <v>45352</v>
      </c>
      <c r="C70" s="4">
        <f>-C12</f>
        <v>-673.27778291112827</v>
      </c>
      <c r="D70" s="4">
        <f t="shared" ref="D70:D73" si="7">+-C23</f>
        <v>-1630.8293070600168</v>
      </c>
    </row>
    <row r="71" spans="1:4" x14ac:dyDescent="0.25">
      <c r="A71" t="s">
        <v>30</v>
      </c>
      <c r="B71" s="38">
        <v>45383</v>
      </c>
      <c r="C71" s="4">
        <f>-C13</f>
        <v>-507.46219402935822</v>
      </c>
      <c r="D71" s="4">
        <f t="shared" si="7"/>
        <v>-1238.173613696694</v>
      </c>
    </row>
    <row r="72" spans="1:4" x14ac:dyDescent="0.25">
      <c r="A72" t="s">
        <v>30</v>
      </c>
      <c r="B72" s="38">
        <v>45413</v>
      </c>
      <c r="C72" s="4">
        <f>-C14</f>
        <v>-339.9884492587704</v>
      </c>
      <c r="D72" s="4">
        <f t="shared" si="7"/>
        <v>-835.64986984296991</v>
      </c>
    </row>
    <row r="73" spans="1:4" x14ac:dyDescent="0.25">
      <c r="A73" t="s">
        <v>30</v>
      </c>
      <c r="B73" s="38">
        <v>45444</v>
      </c>
      <c r="C73" s="4">
        <f>-C15</f>
        <v>-170.83996704047667</v>
      </c>
      <c r="D73" s="4">
        <f t="shared" si="7"/>
        <v>-423.01007598648033</v>
      </c>
    </row>
    <row r="74" spans="1:4" x14ac:dyDescent="0.25">
      <c r="B74" s="39"/>
      <c r="C74" s="7">
        <f>SUM(C67:C73)</f>
        <v>-8529.0200265288513</v>
      </c>
      <c r="D74" s="7">
        <f>SUM(D67:D73)</f>
        <v>-8529.0200265288477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9F11-E966-4657-897C-785860830E5C}">
  <dimension ref="A1:F106"/>
  <sheetViews>
    <sheetView workbookViewId="0">
      <selection activeCell="D10" sqref="D10"/>
    </sheetView>
  </sheetViews>
  <sheetFormatPr baseColWidth="10" defaultRowHeight="15" x14ac:dyDescent="0.25"/>
  <cols>
    <col min="1" max="1" width="7.28515625" customWidth="1"/>
    <col min="3" max="3" width="6" customWidth="1"/>
  </cols>
  <sheetData>
    <row r="1" spans="1:2" x14ac:dyDescent="0.25">
      <c r="A1" s="1" t="s">
        <v>0</v>
      </c>
      <c r="B1" s="2">
        <v>100000</v>
      </c>
    </row>
    <row r="2" spans="1:2" x14ac:dyDescent="0.25">
      <c r="A2" s="1" t="s">
        <v>1</v>
      </c>
      <c r="B2" s="3">
        <v>0.01</v>
      </c>
    </row>
    <row r="3" spans="1:2" x14ac:dyDescent="0.25">
      <c r="A3" s="1" t="s">
        <v>2</v>
      </c>
      <c r="B3" s="1">
        <v>9</v>
      </c>
    </row>
    <row r="4" spans="1:2" x14ac:dyDescent="0.25">
      <c r="A4" s="1" t="s">
        <v>3</v>
      </c>
      <c r="B4" s="1">
        <v>3</v>
      </c>
    </row>
    <row r="5" spans="1:2" x14ac:dyDescent="0.25">
      <c r="A5" s="1" t="s">
        <v>4</v>
      </c>
      <c r="B5" s="2">
        <f>-PMT(B2,B3,B1,0,0)</f>
        <v>11674.036284968108</v>
      </c>
    </row>
    <row r="6" spans="1:2" x14ac:dyDescent="0.25">
      <c r="A6" s="1" t="s">
        <v>5</v>
      </c>
      <c r="B6" s="3">
        <v>0.05</v>
      </c>
    </row>
    <row r="8" spans="1:2" x14ac:dyDescent="0.25">
      <c r="A8" s="1" t="s">
        <v>6</v>
      </c>
      <c r="B8" s="1" t="s">
        <v>7</v>
      </c>
    </row>
    <row r="10" spans="1:2" x14ac:dyDescent="0.25">
      <c r="A10" s="1">
        <v>0</v>
      </c>
      <c r="B10" s="2">
        <f>+B1*(1-B6)</f>
        <v>95000</v>
      </c>
    </row>
    <row r="11" spans="1:2" x14ac:dyDescent="0.25">
      <c r="A11" s="1">
        <f>+A10+1</f>
        <v>1</v>
      </c>
      <c r="B11" s="1">
        <v>0</v>
      </c>
    </row>
    <row r="12" spans="1:2" x14ac:dyDescent="0.25">
      <c r="A12" s="1">
        <f t="shared" ref="A12:A22" si="0">+A11+1</f>
        <v>2</v>
      </c>
      <c r="B12" s="1">
        <v>0</v>
      </c>
    </row>
    <row r="13" spans="1:2" x14ac:dyDescent="0.25">
      <c r="A13" s="1">
        <f t="shared" si="0"/>
        <v>3</v>
      </c>
      <c r="B13" s="1">
        <v>0</v>
      </c>
    </row>
    <row r="14" spans="1:2" x14ac:dyDescent="0.25">
      <c r="A14" s="1">
        <f t="shared" si="0"/>
        <v>4</v>
      </c>
      <c r="B14" s="4">
        <f>-B5</f>
        <v>-11674.036284968108</v>
      </c>
    </row>
    <row r="15" spans="1:2" x14ac:dyDescent="0.25">
      <c r="A15" s="1">
        <f t="shared" si="0"/>
        <v>5</v>
      </c>
      <c r="B15" s="4">
        <f>+B14</f>
        <v>-11674.036284968108</v>
      </c>
    </row>
    <row r="16" spans="1:2" x14ac:dyDescent="0.25">
      <c r="A16" s="1">
        <f t="shared" si="0"/>
        <v>6</v>
      </c>
      <c r="B16" s="4">
        <f t="shared" ref="B16:B22" si="1">+B15</f>
        <v>-11674.036284968108</v>
      </c>
    </row>
    <row r="17" spans="1:5" x14ac:dyDescent="0.25">
      <c r="A17" s="1">
        <f t="shared" si="0"/>
        <v>7</v>
      </c>
      <c r="B17" s="4">
        <f t="shared" si="1"/>
        <v>-11674.036284968108</v>
      </c>
    </row>
    <row r="18" spans="1:5" x14ac:dyDescent="0.25">
      <c r="A18" s="1">
        <f t="shared" si="0"/>
        <v>8</v>
      </c>
      <c r="B18" s="4">
        <f t="shared" si="1"/>
        <v>-11674.036284968108</v>
      </c>
    </row>
    <row r="19" spans="1:5" x14ac:dyDescent="0.25">
      <c r="A19" s="1">
        <f t="shared" si="0"/>
        <v>9</v>
      </c>
      <c r="B19" s="4">
        <f t="shared" si="1"/>
        <v>-11674.036284968108</v>
      </c>
    </row>
    <row r="20" spans="1:5" x14ac:dyDescent="0.25">
      <c r="A20" s="1">
        <f t="shared" si="0"/>
        <v>10</v>
      </c>
      <c r="B20" s="4">
        <f t="shared" si="1"/>
        <v>-11674.036284968108</v>
      </c>
    </row>
    <row r="21" spans="1:5" x14ac:dyDescent="0.25">
      <c r="A21" s="1">
        <f t="shared" si="0"/>
        <v>11</v>
      </c>
      <c r="B21" s="4">
        <f t="shared" si="1"/>
        <v>-11674.036284968108</v>
      </c>
    </row>
    <row r="22" spans="1:5" x14ac:dyDescent="0.25">
      <c r="A22" s="1">
        <f t="shared" si="0"/>
        <v>12</v>
      </c>
      <c r="B22" s="4">
        <f t="shared" si="1"/>
        <v>-11674.036284968108</v>
      </c>
    </row>
    <row r="23" spans="1:5" x14ac:dyDescent="0.25">
      <c r="B23" s="5">
        <f>IRR(B10:B22)</f>
        <v>1.2736528034784422E-2</v>
      </c>
    </row>
    <row r="25" spans="1:5" x14ac:dyDescent="0.25">
      <c r="A25" s="1" t="s">
        <v>8</v>
      </c>
      <c r="B25" s="1" t="s">
        <v>9</v>
      </c>
      <c r="C25" s="1"/>
    </row>
    <row r="27" spans="1:5" x14ac:dyDescent="0.25">
      <c r="B27" s="6" t="s">
        <v>10</v>
      </c>
      <c r="C27" s="6" t="s">
        <v>11</v>
      </c>
      <c r="D27" s="6" t="s">
        <v>12</v>
      </c>
      <c r="E27" s="6" t="s">
        <v>13</v>
      </c>
    </row>
    <row r="28" spans="1:5" x14ac:dyDescent="0.25">
      <c r="A28">
        <f>+A27+1</f>
        <v>1</v>
      </c>
      <c r="B28" s="7">
        <f>B10</f>
        <v>95000</v>
      </c>
      <c r="C28" s="4">
        <f>+B28*$B$23</f>
        <v>1209.9701633045202</v>
      </c>
      <c r="D28" s="8">
        <f>+B11</f>
        <v>0</v>
      </c>
      <c r="E28" s="7">
        <f>+B28+C28+D28</f>
        <v>96209.970163304519</v>
      </c>
    </row>
    <row r="29" spans="1:5" x14ac:dyDescent="0.25">
      <c r="A29">
        <f t="shared" ref="A29:A39" si="2">+A28+1</f>
        <v>2</v>
      </c>
      <c r="B29" s="4">
        <f>+E28</f>
        <v>96209.970163304519</v>
      </c>
      <c r="C29" s="4">
        <f>+B29*$B$23</f>
        <v>1225.3809822107007</v>
      </c>
      <c r="D29" s="8">
        <f>+B12</f>
        <v>0</v>
      </c>
      <c r="E29" s="7">
        <f>+B29+C29+D29</f>
        <v>97435.351145515218</v>
      </c>
    </row>
    <row r="30" spans="1:5" x14ac:dyDescent="0.25">
      <c r="A30">
        <f t="shared" si="2"/>
        <v>3</v>
      </c>
      <c r="B30" s="4">
        <f>+E29</f>
        <v>97435.351145515218</v>
      </c>
      <c r="C30" s="4">
        <f>+B30*$B$23</f>
        <v>1240.9880814439191</v>
      </c>
      <c r="D30" s="8">
        <f>+B13</f>
        <v>0</v>
      </c>
      <c r="E30" s="7">
        <f>+B30+C30+D30</f>
        <v>98676.339226959142</v>
      </c>
    </row>
    <row r="31" spans="1:5" x14ac:dyDescent="0.25">
      <c r="A31">
        <f t="shared" si="2"/>
        <v>4</v>
      </c>
      <c r="B31" s="4">
        <f>+E30</f>
        <v>98676.339226959142</v>
      </c>
      <c r="C31" s="4">
        <f>+B31*$B$23</f>
        <v>1256.7939609340629</v>
      </c>
      <c r="D31" s="9">
        <f>+B14</f>
        <v>-11674.036284968108</v>
      </c>
      <c r="E31" s="7">
        <f>+B31+C31+D31</f>
        <v>88259.096902925099</v>
      </c>
    </row>
    <row r="32" spans="1:5" x14ac:dyDescent="0.25">
      <c r="A32">
        <f t="shared" si="2"/>
        <v>5</v>
      </c>
      <c r="B32" s="4">
        <f>+E31</f>
        <v>88259.096902925099</v>
      </c>
      <c r="C32" s="4">
        <f>+B32*$B$23</f>
        <v>1124.1144620288605</v>
      </c>
      <c r="D32" s="9">
        <f>+B15</f>
        <v>-11674.036284968108</v>
      </c>
      <c r="E32" s="7">
        <f>+B32+C32+D32</f>
        <v>77709.175079985842</v>
      </c>
    </row>
    <row r="33" spans="1:6" x14ac:dyDescent="0.25">
      <c r="A33">
        <f t="shared" si="2"/>
        <v>6</v>
      </c>
      <c r="B33" s="4">
        <f t="shared" ref="B33:B39" si="3">+E32</f>
        <v>77709.175079985842</v>
      </c>
      <c r="C33" s="4">
        <f t="shared" ref="C33:C39" si="4">+B33*$B$23</f>
        <v>989.74508696621069</v>
      </c>
      <c r="D33" s="9">
        <f t="shared" ref="D33:D39" si="5">+B16</f>
        <v>-11674.036284968108</v>
      </c>
      <c r="E33" s="4">
        <f t="shared" ref="E33:E39" si="6">+B33+C33+D33</f>
        <v>67024.883881983944</v>
      </c>
    </row>
    <row r="34" spans="1:6" x14ac:dyDescent="0.25">
      <c r="A34">
        <f t="shared" si="2"/>
        <v>7</v>
      </c>
      <c r="B34" s="4">
        <f t="shared" si="3"/>
        <v>67024.883881983944</v>
      </c>
      <c r="C34" s="4">
        <f t="shared" si="4"/>
        <v>853.66431259105912</v>
      </c>
      <c r="D34" s="9">
        <f t="shared" si="5"/>
        <v>-11674.036284968108</v>
      </c>
      <c r="E34" s="4">
        <f t="shared" si="6"/>
        <v>56204.511909606896</v>
      </c>
    </row>
    <row r="35" spans="1:6" x14ac:dyDescent="0.25">
      <c r="A35">
        <f t="shared" si="2"/>
        <v>8</v>
      </c>
      <c r="B35" s="4">
        <f t="shared" si="3"/>
        <v>56204.511909606896</v>
      </c>
      <c r="C35" s="4">
        <f t="shared" si="4"/>
        <v>715.85034161808312</v>
      </c>
      <c r="D35" s="9">
        <f t="shared" si="5"/>
        <v>-11674.036284968108</v>
      </c>
      <c r="E35" s="4">
        <f t="shared" si="6"/>
        <v>45246.325966256874</v>
      </c>
    </row>
    <row r="36" spans="1:6" x14ac:dyDescent="0.25">
      <c r="A36">
        <f t="shared" si="2"/>
        <v>9</v>
      </c>
      <c r="B36" s="4">
        <f t="shared" si="3"/>
        <v>45246.325966256874</v>
      </c>
      <c r="C36" s="4">
        <f t="shared" si="4"/>
        <v>576.28109914022502</v>
      </c>
      <c r="D36" s="9">
        <f t="shared" si="5"/>
        <v>-11674.036284968108</v>
      </c>
      <c r="E36" s="4">
        <f t="shared" si="6"/>
        <v>34148.570780428985</v>
      </c>
    </row>
    <row r="37" spans="1:6" x14ac:dyDescent="0.25">
      <c r="A37">
        <f t="shared" si="2"/>
        <v>10</v>
      </c>
      <c r="B37" s="4">
        <f t="shared" si="3"/>
        <v>34148.570780428985</v>
      </c>
      <c r="C37" s="4">
        <f t="shared" si="4"/>
        <v>434.93422909275392</v>
      </c>
      <c r="D37" s="9">
        <f t="shared" si="5"/>
        <v>-11674.036284968108</v>
      </c>
      <c r="E37" s="4">
        <f t="shared" si="6"/>
        <v>22909.46872455363</v>
      </c>
    </row>
    <row r="38" spans="1:6" x14ac:dyDescent="0.25">
      <c r="A38">
        <f t="shared" si="2"/>
        <v>11</v>
      </c>
      <c r="B38" s="4">
        <f t="shared" si="3"/>
        <v>22909.46872455363</v>
      </c>
      <c r="C38" s="4">
        <f t="shared" si="4"/>
        <v>291.78709067229426</v>
      </c>
      <c r="D38" s="9">
        <f t="shared" si="5"/>
        <v>-11674.036284968108</v>
      </c>
      <c r="E38" s="4">
        <f t="shared" si="6"/>
        <v>11527.219530257815</v>
      </c>
    </row>
    <row r="39" spans="1:6" x14ac:dyDescent="0.25">
      <c r="A39">
        <f t="shared" si="2"/>
        <v>12</v>
      </c>
      <c r="B39" s="4">
        <f t="shared" si="3"/>
        <v>11527.219530257815</v>
      </c>
      <c r="C39" s="4">
        <f t="shared" si="4"/>
        <v>146.81675471024317</v>
      </c>
      <c r="D39" s="9">
        <f t="shared" si="5"/>
        <v>-11674.036284968108</v>
      </c>
      <c r="E39" s="9">
        <f t="shared" si="6"/>
        <v>-4.9112713895738125E-11</v>
      </c>
    </row>
    <row r="40" spans="1:6" x14ac:dyDescent="0.25">
      <c r="D40" s="4"/>
    </row>
    <row r="41" spans="1:6" x14ac:dyDescent="0.25">
      <c r="A41" s="1" t="s">
        <v>14</v>
      </c>
      <c r="B41" s="1" t="s">
        <v>15</v>
      </c>
      <c r="C41" s="1"/>
    </row>
    <row r="43" spans="1:6" x14ac:dyDescent="0.25">
      <c r="D43" s="6" t="s">
        <v>16</v>
      </c>
      <c r="E43" s="6" t="s">
        <v>17</v>
      </c>
    </row>
    <row r="44" spans="1:6" x14ac:dyDescent="0.25">
      <c r="A44" t="s">
        <v>18</v>
      </c>
      <c r="D44" s="4">
        <f>+B28</f>
        <v>95000</v>
      </c>
    </row>
    <row r="45" spans="1:6" x14ac:dyDescent="0.25">
      <c r="A45" t="s">
        <v>19</v>
      </c>
      <c r="E45" s="4">
        <f>+D44</f>
        <v>95000</v>
      </c>
      <c r="F45" t="s">
        <v>20</v>
      </c>
    </row>
    <row r="47" spans="1:6" x14ac:dyDescent="0.25">
      <c r="A47" s="10">
        <v>1</v>
      </c>
      <c r="D47" s="4"/>
      <c r="E47" s="4"/>
    </row>
    <row r="48" spans="1:6" x14ac:dyDescent="0.25">
      <c r="A48" s="8" t="s">
        <v>21</v>
      </c>
      <c r="B48" s="8"/>
      <c r="C48" s="8"/>
      <c r="D48" s="9">
        <f>VLOOKUP(A47,$A$28:$E$39,3,FALSE)</f>
        <v>1209.9701633045202</v>
      </c>
      <c r="E48" s="9"/>
    </row>
    <row r="49" spans="1:6" x14ac:dyDescent="0.25">
      <c r="A49" s="8" t="s">
        <v>19</v>
      </c>
      <c r="B49" s="8"/>
      <c r="C49" s="8"/>
      <c r="D49" s="9"/>
      <c r="E49" s="9">
        <f>+D48</f>
        <v>1209.9701633045202</v>
      </c>
      <c r="F49" s="11">
        <f>+E45+E49-D50</f>
        <v>96209.970163304519</v>
      </c>
    </row>
    <row r="50" spans="1:6" x14ac:dyDescent="0.25">
      <c r="A50" s="12" t="s">
        <v>19</v>
      </c>
      <c r="B50" s="12"/>
      <c r="C50" s="12"/>
      <c r="D50" s="13">
        <f>VLOOKUP(A47,$A$28:$E$39,4,FALSE)</f>
        <v>0</v>
      </c>
      <c r="E50" s="13"/>
    </row>
    <row r="51" spans="1:6" x14ac:dyDescent="0.25">
      <c r="A51" s="12" t="s">
        <v>18</v>
      </c>
      <c r="B51" s="12"/>
      <c r="C51" s="12"/>
      <c r="D51" s="13"/>
      <c r="E51" s="13">
        <f>+D50</f>
        <v>0</v>
      </c>
    </row>
    <row r="52" spans="1:6" x14ac:dyDescent="0.25">
      <c r="A52" s="10">
        <v>2</v>
      </c>
      <c r="D52" s="4"/>
      <c r="E52" s="4"/>
    </row>
    <row r="53" spans="1:6" x14ac:dyDescent="0.25">
      <c r="A53" s="8" t="s">
        <v>21</v>
      </c>
      <c r="B53" s="8"/>
      <c r="C53" s="8"/>
      <c r="D53" s="9">
        <f>VLOOKUP(A52,$A$28:$E$39,3,FALSE)</f>
        <v>1225.3809822107007</v>
      </c>
      <c r="E53" s="9"/>
    </row>
    <row r="54" spans="1:6" x14ac:dyDescent="0.25">
      <c r="A54" s="8" t="s">
        <v>19</v>
      </c>
      <c r="B54" s="8"/>
      <c r="C54" s="8"/>
      <c r="D54" s="9"/>
      <c r="E54" s="9">
        <f>+D53</f>
        <v>1225.3809822107007</v>
      </c>
      <c r="F54" s="11">
        <f>+F49+E54-D55</f>
        <v>97435.351145515218</v>
      </c>
    </row>
    <row r="55" spans="1:6" x14ac:dyDescent="0.25">
      <c r="A55" s="12" t="s">
        <v>19</v>
      </c>
      <c r="B55" s="12"/>
      <c r="C55" s="12"/>
      <c r="D55" s="13">
        <f>VLOOKUP(A52,$A$28:$E$39,4,FALSE)</f>
        <v>0</v>
      </c>
      <c r="E55" s="13"/>
    </row>
    <row r="56" spans="1:6" x14ac:dyDescent="0.25">
      <c r="A56" s="12" t="s">
        <v>18</v>
      </c>
      <c r="B56" s="12"/>
      <c r="C56" s="12"/>
      <c r="D56" s="13"/>
      <c r="E56" s="13">
        <f>+D55</f>
        <v>0</v>
      </c>
    </row>
    <row r="57" spans="1:6" x14ac:dyDescent="0.25">
      <c r="A57" s="10">
        <v>3</v>
      </c>
      <c r="D57" s="4"/>
      <c r="E57" s="4"/>
    </row>
    <row r="58" spans="1:6" x14ac:dyDescent="0.25">
      <c r="A58" s="8" t="s">
        <v>21</v>
      </c>
      <c r="B58" s="8"/>
      <c r="C58" s="8"/>
      <c r="D58" s="9">
        <f>VLOOKUP(A57,$A$28:$E$39,3,FALSE)</f>
        <v>1240.9880814439191</v>
      </c>
      <c r="E58" s="9"/>
    </row>
    <row r="59" spans="1:6" x14ac:dyDescent="0.25">
      <c r="A59" s="8" t="s">
        <v>19</v>
      </c>
      <c r="B59" s="8"/>
      <c r="C59" s="8"/>
      <c r="D59" s="9"/>
      <c r="E59" s="9">
        <f>+D58</f>
        <v>1240.9880814439191</v>
      </c>
      <c r="F59" s="11">
        <f>+F54+E59-D60</f>
        <v>98676.339226959142</v>
      </c>
    </row>
    <row r="60" spans="1:6" x14ac:dyDescent="0.25">
      <c r="A60" s="12" t="s">
        <v>19</v>
      </c>
      <c r="B60" s="12"/>
      <c r="C60" s="12"/>
      <c r="D60" s="13">
        <f>VLOOKUP(A57,$A$28:$E$39,4,FALSE)</f>
        <v>0</v>
      </c>
      <c r="E60" s="13"/>
    </row>
    <row r="61" spans="1:6" x14ac:dyDescent="0.25">
      <c r="A61" s="12" t="s">
        <v>18</v>
      </c>
      <c r="B61" s="12"/>
      <c r="C61" s="12"/>
      <c r="D61" s="13"/>
      <c r="E61" s="13">
        <f>+D60</f>
        <v>0</v>
      </c>
    </row>
    <row r="62" spans="1:6" x14ac:dyDescent="0.25">
      <c r="A62" s="10">
        <v>4</v>
      </c>
      <c r="D62" s="4"/>
      <c r="E62" s="4"/>
    </row>
    <row r="63" spans="1:6" x14ac:dyDescent="0.25">
      <c r="A63" s="8" t="s">
        <v>21</v>
      </c>
      <c r="B63" s="8"/>
      <c r="C63" s="8"/>
      <c r="D63" s="9">
        <f>VLOOKUP(A62,$A$28:$E$39,3,FALSE)</f>
        <v>1256.7939609340629</v>
      </c>
      <c r="E63" s="9"/>
    </row>
    <row r="64" spans="1:6" x14ac:dyDescent="0.25">
      <c r="A64" s="8" t="s">
        <v>19</v>
      </c>
      <c r="B64" s="8"/>
      <c r="C64" s="8"/>
      <c r="D64" s="9"/>
      <c r="E64" s="9">
        <f>+D63</f>
        <v>1256.7939609340629</v>
      </c>
      <c r="F64" s="11">
        <f>+F59+E64-D65</f>
        <v>88259.096902925099</v>
      </c>
    </row>
    <row r="65" spans="1:6" x14ac:dyDescent="0.25">
      <c r="A65" s="12" t="s">
        <v>19</v>
      </c>
      <c r="B65" s="12"/>
      <c r="C65" s="12"/>
      <c r="D65" s="13">
        <f>-VLOOKUP(A62,$A$28:$E$39,4,FALSE)</f>
        <v>11674.036284968108</v>
      </c>
      <c r="E65" s="13"/>
    </row>
    <row r="66" spans="1:6" x14ac:dyDescent="0.25">
      <c r="A66" s="12" t="s">
        <v>18</v>
      </c>
      <c r="B66" s="12"/>
      <c r="C66" s="12"/>
      <c r="D66" s="13"/>
      <c r="E66" s="13">
        <f>+D65</f>
        <v>11674.036284968108</v>
      </c>
    </row>
    <row r="67" spans="1:6" x14ac:dyDescent="0.25">
      <c r="A67" s="10">
        <v>5</v>
      </c>
      <c r="D67" s="4"/>
      <c r="E67" s="4"/>
    </row>
    <row r="68" spans="1:6" x14ac:dyDescent="0.25">
      <c r="A68" s="8" t="s">
        <v>21</v>
      </c>
      <c r="B68" s="8"/>
      <c r="C68" s="8"/>
      <c r="D68" s="9">
        <f>VLOOKUP(A67,$A$28:$E$39,3,FALSE)</f>
        <v>1124.1144620288605</v>
      </c>
      <c r="E68" s="9"/>
    </row>
    <row r="69" spans="1:6" x14ac:dyDescent="0.25">
      <c r="A69" s="8" t="s">
        <v>19</v>
      </c>
      <c r="B69" s="8"/>
      <c r="C69" s="8"/>
      <c r="D69" s="9"/>
      <c r="E69" s="9">
        <f>+D68</f>
        <v>1124.1144620288605</v>
      </c>
      <c r="F69" s="11">
        <f>+F64+E69-D70</f>
        <v>77709.175079985842</v>
      </c>
    </row>
    <row r="70" spans="1:6" x14ac:dyDescent="0.25">
      <c r="A70" s="12" t="s">
        <v>19</v>
      </c>
      <c r="B70" s="12"/>
      <c r="C70" s="12"/>
      <c r="D70" s="13">
        <f>-VLOOKUP(A67,$A$28:$E$39,4,FALSE)</f>
        <v>11674.036284968108</v>
      </c>
      <c r="E70" s="13"/>
    </row>
    <row r="71" spans="1:6" x14ac:dyDescent="0.25">
      <c r="A71" s="12" t="s">
        <v>18</v>
      </c>
      <c r="B71" s="12"/>
      <c r="C71" s="12"/>
      <c r="D71" s="13"/>
      <c r="E71" s="13">
        <f>+D70</f>
        <v>11674.036284968108</v>
      </c>
    </row>
    <row r="72" spans="1:6" x14ac:dyDescent="0.25">
      <c r="A72" s="10">
        <v>6</v>
      </c>
      <c r="D72" s="4"/>
      <c r="E72" s="4"/>
    </row>
    <row r="73" spans="1:6" x14ac:dyDescent="0.25">
      <c r="A73" s="8" t="s">
        <v>21</v>
      </c>
      <c r="B73" s="8"/>
      <c r="C73" s="8"/>
      <c r="D73" s="9">
        <f>VLOOKUP(A72,$A$28:$E$39,3,FALSE)</f>
        <v>989.74508696621069</v>
      </c>
      <c r="E73" s="9"/>
    </row>
    <row r="74" spans="1:6" x14ac:dyDescent="0.25">
      <c r="A74" s="8" t="s">
        <v>19</v>
      </c>
      <c r="B74" s="8"/>
      <c r="C74" s="8"/>
      <c r="D74" s="9"/>
      <c r="E74" s="9">
        <f>+D73</f>
        <v>989.74508696621069</v>
      </c>
      <c r="F74" s="11">
        <f>+F69+E74-D75</f>
        <v>67024.883881983944</v>
      </c>
    </row>
    <row r="75" spans="1:6" x14ac:dyDescent="0.25">
      <c r="A75" s="12" t="s">
        <v>19</v>
      </c>
      <c r="B75" s="12"/>
      <c r="C75" s="12"/>
      <c r="D75" s="13">
        <f>-VLOOKUP(A72,$A$28:$E$39,4,FALSE)</f>
        <v>11674.036284968108</v>
      </c>
      <c r="E75" s="13"/>
    </row>
    <row r="76" spans="1:6" x14ac:dyDescent="0.25">
      <c r="A76" s="12" t="s">
        <v>18</v>
      </c>
      <c r="B76" s="12"/>
      <c r="C76" s="12"/>
      <c r="D76" s="13"/>
      <c r="E76" s="13">
        <f>+D75</f>
        <v>11674.036284968108</v>
      </c>
    </row>
    <row r="77" spans="1:6" x14ac:dyDescent="0.25">
      <c r="A77" s="10">
        <v>7</v>
      </c>
      <c r="D77" s="4"/>
      <c r="E77" s="4"/>
    </row>
    <row r="78" spans="1:6" x14ac:dyDescent="0.25">
      <c r="A78" s="8" t="s">
        <v>21</v>
      </c>
      <c r="B78" s="8"/>
      <c r="C78" s="8"/>
      <c r="D78" s="9">
        <f>VLOOKUP(A77,$A$28:$E$39,3,FALSE)</f>
        <v>853.66431259105912</v>
      </c>
      <c r="E78" s="9"/>
    </row>
    <row r="79" spans="1:6" x14ac:dyDescent="0.25">
      <c r="A79" s="8" t="s">
        <v>19</v>
      </c>
      <c r="B79" s="8"/>
      <c r="C79" s="8"/>
      <c r="D79" s="9"/>
      <c r="E79" s="9">
        <f>+D78</f>
        <v>853.66431259105912</v>
      </c>
      <c r="F79" s="11">
        <f>+F74+E79-D80</f>
        <v>56204.511909606896</v>
      </c>
    </row>
    <row r="80" spans="1:6" x14ac:dyDescent="0.25">
      <c r="A80" s="12" t="s">
        <v>19</v>
      </c>
      <c r="B80" s="12"/>
      <c r="C80" s="12"/>
      <c r="D80" s="13">
        <f>-VLOOKUP(A77,$A$28:$E$39,4,FALSE)</f>
        <v>11674.036284968108</v>
      </c>
      <c r="E80" s="13"/>
    </row>
    <row r="81" spans="1:6" x14ac:dyDescent="0.25">
      <c r="A81" s="12" t="s">
        <v>18</v>
      </c>
      <c r="B81" s="12"/>
      <c r="C81" s="12"/>
      <c r="D81" s="13"/>
      <c r="E81" s="13">
        <f>+D80</f>
        <v>11674.036284968108</v>
      </c>
    </row>
    <row r="82" spans="1:6" x14ac:dyDescent="0.25">
      <c r="A82" s="10">
        <v>8</v>
      </c>
      <c r="D82" s="4"/>
      <c r="E82" s="4"/>
    </row>
    <row r="83" spans="1:6" x14ac:dyDescent="0.25">
      <c r="A83" s="8" t="s">
        <v>21</v>
      </c>
      <c r="B83" s="8"/>
      <c r="C83" s="8"/>
      <c r="D83" s="9">
        <f>VLOOKUP(A82,$A$28:$E$39,3,FALSE)</f>
        <v>715.85034161808312</v>
      </c>
      <c r="E83" s="9"/>
    </row>
    <row r="84" spans="1:6" x14ac:dyDescent="0.25">
      <c r="A84" s="8" t="s">
        <v>19</v>
      </c>
      <c r="B84" s="8"/>
      <c r="C84" s="8"/>
      <c r="D84" s="9"/>
      <c r="E84" s="9">
        <f>+D83</f>
        <v>715.85034161808312</v>
      </c>
      <c r="F84" s="11">
        <f>+F79+E84-D85</f>
        <v>45246.325966256874</v>
      </c>
    </row>
    <row r="85" spans="1:6" x14ac:dyDescent="0.25">
      <c r="A85" s="12" t="s">
        <v>19</v>
      </c>
      <c r="B85" s="12"/>
      <c r="C85" s="12"/>
      <c r="D85" s="13">
        <f>-VLOOKUP(A82,$A$28:$E$39,4,FALSE)</f>
        <v>11674.036284968108</v>
      </c>
      <c r="E85" s="13"/>
    </row>
    <row r="86" spans="1:6" x14ac:dyDescent="0.25">
      <c r="A86" s="12" t="s">
        <v>18</v>
      </c>
      <c r="B86" s="12"/>
      <c r="C86" s="12"/>
      <c r="D86" s="13"/>
      <c r="E86" s="13">
        <f>+D85</f>
        <v>11674.036284968108</v>
      </c>
    </row>
    <row r="87" spans="1:6" x14ac:dyDescent="0.25">
      <c r="A87" s="10">
        <v>9</v>
      </c>
      <c r="D87" s="4"/>
      <c r="E87" s="4"/>
    </row>
    <row r="88" spans="1:6" x14ac:dyDescent="0.25">
      <c r="A88" s="8" t="s">
        <v>21</v>
      </c>
      <c r="B88" s="8"/>
      <c r="C88" s="8"/>
      <c r="D88" s="9">
        <f>VLOOKUP(A87,$A$28:$E$39,3,FALSE)</f>
        <v>576.28109914022502</v>
      </c>
      <c r="E88" s="9"/>
    </row>
    <row r="89" spans="1:6" x14ac:dyDescent="0.25">
      <c r="A89" s="8" t="s">
        <v>19</v>
      </c>
      <c r="B89" s="8"/>
      <c r="C89" s="8"/>
      <c r="D89" s="9"/>
      <c r="E89" s="9">
        <f>+D88</f>
        <v>576.28109914022502</v>
      </c>
      <c r="F89" s="11">
        <f>+F84+E89-D90</f>
        <v>34148.570780428985</v>
      </c>
    </row>
    <row r="90" spans="1:6" x14ac:dyDescent="0.25">
      <c r="A90" s="12" t="s">
        <v>19</v>
      </c>
      <c r="B90" s="12"/>
      <c r="C90" s="12"/>
      <c r="D90" s="13">
        <f>-VLOOKUP(A87,$A$28:$E$39,4,FALSE)</f>
        <v>11674.036284968108</v>
      </c>
      <c r="E90" s="13"/>
    </row>
    <row r="91" spans="1:6" x14ac:dyDescent="0.25">
      <c r="A91" s="12" t="s">
        <v>18</v>
      </c>
      <c r="B91" s="12"/>
      <c r="C91" s="12"/>
      <c r="D91" s="13"/>
      <c r="E91" s="13">
        <f>+D90</f>
        <v>11674.036284968108</v>
      </c>
    </row>
    <row r="92" spans="1:6" x14ac:dyDescent="0.25">
      <c r="A92" s="10">
        <v>10</v>
      </c>
      <c r="D92" s="4"/>
      <c r="E92" s="4"/>
    </row>
    <row r="93" spans="1:6" x14ac:dyDescent="0.25">
      <c r="A93" s="8" t="s">
        <v>21</v>
      </c>
      <c r="B93" s="8"/>
      <c r="C93" s="8"/>
      <c r="D93" s="9">
        <f>VLOOKUP(A92,$A$28:$E$39,3,FALSE)</f>
        <v>434.93422909275392</v>
      </c>
      <c r="E93" s="9"/>
    </row>
    <row r="94" spans="1:6" x14ac:dyDescent="0.25">
      <c r="A94" s="8" t="s">
        <v>19</v>
      </c>
      <c r="B94" s="8"/>
      <c r="C94" s="8"/>
      <c r="D94" s="9"/>
      <c r="E94" s="9">
        <f>+D93</f>
        <v>434.93422909275392</v>
      </c>
      <c r="F94" s="11">
        <f>+F89+E94-D95</f>
        <v>22909.46872455363</v>
      </c>
    </row>
    <row r="95" spans="1:6" x14ac:dyDescent="0.25">
      <c r="A95" s="12" t="s">
        <v>19</v>
      </c>
      <c r="B95" s="12"/>
      <c r="C95" s="12"/>
      <c r="D95" s="13">
        <f>-VLOOKUP(A92,$A$28:$E$39,4,FALSE)</f>
        <v>11674.036284968108</v>
      </c>
      <c r="E95" s="13"/>
    </row>
    <row r="96" spans="1:6" x14ac:dyDescent="0.25">
      <c r="A96" s="12" t="s">
        <v>18</v>
      </c>
      <c r="B96" s="12"/>
      <c r="C96" s="12"/>
      <c r="D96" s="13"/>
      <c r="E96" s="13">
        <f>+D95</f>
        <v>11674.036284968108</v>
      </c>
    </row>
    <row r="97" spans="1:6" x14ac:dyDescent="0.25">
      <c r="A97" s="10">
        <v>11</v>
      </c>
      <c r="D97" s="4"/>
      <c r="E97" s="4"/>
    </row>
    <row r="98" spans="1:6" x14ac:dyDescent="0.25">
      <c r="A98" s="8" t="s">
        <v>21</v>
      </c>
      <c r="B98" s="8"/>
      <c r="C98" s="8"/>
      <c r="D98" s="9">
        <f>VLOOKUP(A97,$A$28:$E$39,3,FALSE)</f>
        <v>291.78709067229426</v>
      </c>
      <c r="E98" s="9"/>
    </row>
    <row r="99" spans="1:6" x14ac:dyDescent="0.25">
      <c r="A99" s="8" t="s">
        <v>19</v>
      </c>
      <c r="B99" s="8"/>
      <c r="C99" s="8"/>
      <c r="D99" s="9"/>
      <c r="E99" s="9">
        <f>+D98</f>
        <v>291.78709067229426</v>
      </c>
      <c r="F99" s="11">
        <f>+F94+E99-D100</f>
        <v>11527.219530257815</v>
      </c>
    </row>
    <row r="100" spans="1:6" x14ac:dyDescent="0.25">
      <c r="A100" s="12" t="s">
        <v>19</v>
      </c>
      <c r="B100" s="12"/>
      <c r="C100" s="12"/>
      <c r="D100" s="13">
        <f>-VLOOKUP(A97,$A$28:$E$39,4,FALSE)</f>
        <v>11674.036284968108</v>
      </c>
      <c r="E100" s="13"/>
    </row>
    <row r="101" spans="1:6" x14ac:dyDescent="0.25">
      <c r="A101" s="12" t="s">
        <v>18</v>
      </c>
      <c r="B101" s="12"/>
      <c r="C101" s="12"/>
      <c r="D101" s="13"/>
      <c r="E101" s="13">
        <f>+D100</f>
        <v>11674.036284968108</v>
      </c>
    </row>
    <row r="102" spans="1:6" x14ac:dyDescent="0.25">
      <c r="A102" s="10">
        <v>12</v>
      </c>
      <c r="D102" s="4"/>
      <c r="E102" s="4"/>
    </row>
    <row r="103" spans="1:6" x14ac:dyDescent="0.25">
      <c r="A103" s="8" t="s">
        <v>21</v>
      </c>
      <c r="B103" s="8"/>
      <c r="C103" s="8"/>
      <c r="D103" s="9">
        <f>VLOOKUP(A102,$A$28:$E$39,3,FALSE)</f>
        <v>146.81675471024317</v>
      </c>
      <c r="E103" s="9"/>
    </row>
    <row r="104" spans="1:6" x14ac:dyDescent="0.25">
      <c r="A104" s="8" t="s">
        <v>19</v>
      </c>
      <c r="B104" s="8"/>
      <c r="C104" s="8"/>
      <c r="D104" s="9"/>
      <c r="E104" s="9">
        <f>+D103</f>
        <v>146.81675471024317</v>
      </c>
      <c r="F104" s="11">
        <f>+F99+E104-D105</f>
        <v>-4.9112713895738125E-11</v>
      </c>
    </row>
    <row r="105" spans="1:6" x14ac:dyDescent="0.25">
      <c r="A105" s="12" t="s">
        <v>19</v>
      </c>
      <c r="B105" s="12"/>
      <c r="C105" s="12"/>
      <c r="D105" s="13">
        <f>-VLOOKUP(A102,$A$28:$E$39,4,FALSE)</f>
        <v>11674.036284968108</v>
      </c>
      <c r="E105" s="13"/>
    </row>
    <row r="106" spans="1:6" x14ac:dyDescent="0.25">
      <c r="A106" s="12" t="s">
        <v>18</v>
      </c>
      <c r="B106" s="12"/>
      <c r="C106" s="12"/>
      <c r="D106" s="13"/>
      <c r="E106" s="13">
        <f>+D105</f>
        <v>11674.036284968108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20BC-C7B5-4F07-A136-D71682948077}">
  <dimension ref="A1:F109"/>
  <sheetViews>
    <sheetView zoomScaleNormal="100" workbookViewId="0">
      <selection activeCell="F104" sqref="F104"/>
    </sheetView>
  </sheetViews>
  <sheetFormatPr baseColWidth="10" defaultRowHeight="15" x14ac:dyDescent="0.25"/>
  <cols>
    <col min="1" max="1" width="6.5703125" customWidth="1"/>
    <col min="3" max="3" width="9.140625" customWidth="1"/>
  </cols>
  <sheetData>
    <row r="1" spans="1:2" s="14" customFormat="1" x14ac:dyDescent="0.25"/>
    <row r="2" spans="1:2" s="14" customFormat="1" x14ac:dyDescent="0.25"/>
    <row r="3" spans="1:2" s="14" customFormat="1" x14ac:dyDescent="0.25"/>
    <row r="4" spans="1:2" s="14" customFormat="1" x14ac:dyDescent="0.25"/>
    <row r="5" spans="1:2" x14ac:dyDescent="0.25">
      <c r="A5" s="15" t="s">
        <v>0</v>
      </c>
      <c r="B5" s="16">
        <v>100000</v>
      </c>
    </row>
    <row r="6" spans="1:2" x14ac:dyDescent="0.25">
      <c r="A6" s="15" t="s">
        <v>1</v>
      </c>
      <c r="B6" s="17">
        <v>0.01</v>
      </c>
    </row>
    <row r="7" spans="1:2" x14ac:dyDescent="0.25">
      <c r="A7" s="15" t="s">
        <v>2</v>
      </c>
      <c r="B7" s="15">
        <v>12</v>
      </c>
    </row>
    <row r="8" spans="1:2" x14ac:dyDescent="0.25">
      <c r="A8" s="15" t="s">
        <v>22</v>
      </c>
      <c r="B8" s="16">
        <f>B5*(1+B6)^B7</f>
        <v>112682.50301319698</v>
      </c>
    </row>
    <row r="9" spans="1:2" x14ac:dyDescent="0.25">
      <c r="A9" s="15" t="s">
        <v>5</v>
      </c>
      <c r="B9" s="17">
        <v>0.05</v>
      </c>
    </row>
    <row r="11" spans="1:2" x14ac:dyDescent="0.25">
      <c r="A11" s="1" t="s">
        <v>6</v>
      </c>
      <c r="B11" s="1" t="s">
        <v>7</v>
      </c>
    </row>
    <row r="13" spans="1:2" x14ac:dyDescent="0.25">
      <c r="A13" s="15">
        <v>0</v>
      </c>
      <c r="B13" s="16">
        <f>+B5*(1-B9)</f>
        <v>95000</v>
      </c>
    </row>
    <row r="14" spans="1:2" x14ac:dyDescent="0.25">
      <c r="A14" s="15">
        <f>+A13+1</f>
        <v>1</v>
      </c>
      <c r="B14" s="15">
        <v>0</v>
      </c>
    </row>
    <row r="15" spans="1:2" x14ac:dyDescent="0.25">
      <c r="A15" s="15">
        <f t="shared" ref="A15:A25" si="0">+A14+1</f>
        <v>2</v>
      </c>
      <c r="B15" s="15">
        <v>0</v>
      </c>
    </row>
    <row r="16" spans="1:2" x14ac:dyDescent="0.25">
      <c r="A16" s="15">
        <f t="shared" si="0"/>
        <v>3</v>
      </c>
      <c r="B16" s="15">
        <v>0</v>
      </c>
    </row>
    <row r="17" spans="1:5" x14ac:dyDescent="0.25">
      <c r="A17" s="15">
        <f t="shared" si="0"/>
        <v>4</v>
      </c>
      <c r="B17" s="15">
        <v>0</v>
      </c>
    </row>
    <row r="18" spans="1:5" x14ac:dyDescent="0.25">
      <c r="A18" s="15">
        <f t="shared" si="0"/>
        <v>5</v>
      </c>
      <c r="B18" s="15">
        <v>0</v>
      </c>
    </row>
    <row r="19" spans="1:5" x14ac:dyDescent="0.25">
      <c r="A19" s="15">
        <f t="shared" si="0"/>
        <v>6</v>
      </c>
      <c r="B19" s="15">
        <v>0</v>
      </c>
    </row>
    <row r="20" spans="1:5" x14ac:dyDescent="0.25">
      <c r="A20" s="15">
        <f t="shared" si="0"/>
        <v>7</v>
      </c>
      <c r="B20" s="15">
        <v>0</v>
      </c>
    </row>
    <row r="21" spans="1:5" x14ac:dyDescent="0.25">
      <c r="A21" s="15">
        <f t="shared" si="0"/>
        <v>8</v>
      </c>
      <c r="B21" s="15">
        <v>0</v>
      </c>
    </row>
    <row r="22" spans="1:5" x14ac:dyDescent="0.25">
      <c r="A22" s="15">
        <f t="shared" si="0"/>
        <v>9</v>
      </c>
      <c r="B22" s="15">
        <v>0</v>
      </c>
    </row>
    <row r="23" spans="1:5" x14ac:dyDescent="0.25">
      <c r="A23" s="15">
        <f t="shared" si="0"/>
        <v>10</v>
      </c>
      <c r="B23" s="15">
        <v>0</v>
      </c>
    </row>
    <row r="24" spans="1:5" x14ac:dyDescent="0.25">
      <c r="A24" s="15">
        <f t="shared" si="0"/>
        <v>11</v>
      </c>
      <c r="B24" s="15">
        <v>0</v>
      </c>
    </row>
    <row r="25" spans="1:5" x14ac:dyDescent="0.25">
      <c r="A25" s="15">
        <f t="shared" si="0"/>
        <v>12</v>
      </c>
      <c r="B25" s="16">
        <f>-B8</f>
        <v>-112682.50301319698</v>
      </c>
    </row>
    <row r="26" spans="1:5" x14ac:dyDescent="0.25">
      <c r="B26" s="5">
        <f>IRR(B13:B25)</f>
        <v>1.4326425549472166E-2</v>
      </c>
    </row>
    <row r="28" spans="1:5" x14ac:dyDescent="0.25">
      <c r="A28" s="1" t="s">
        <v>8</v>
      </c>
      <c r="B28" s="1" t="s">
        <v>9</v>
      </c>
      <c r="C28" s="1"/>
    </row>
    <row r="30" spans="1:5" x14ac:dyDescent="0.25">
      <c r="B30" s="6" t="s">
        <v>10</v>
      </c>
      <c r="C30" s="6" t="s">
        <v>11</v>
      </c>
      <c r="D30" s="6" t="s">
        <v>12</v>
      </c>
      <c r="E30" s="6" t="s">
        <v>13</v>
      </c>
    </row>
    <row r="31" spans="1:5" x14ac:dyDescent="0.25">
      <c r="A31">
        <f>+A30+1</f>
        <v>1</v>
      </c>
      <c r="B31" s="4">
        <f>+B13</f>
        <v>95000</v>
      </c>
      <c r="C31" s="18">
        <f>+B31*$B$26</f>
        <v>1361.0104271998557</v>
      </c>
      <c r="D31" s="4">
        <f>+-+B14</f>
        <v>0</v>
      </c>
      <c r="E31" s="4">
        <f>+B31+C31+D31</f>
        <v>96361.010427199857</v>
      </c>
    </row>
    <row r="32" spans="1:5" x14ac:dyDescent="0.25">
      <c r="A32">
        <f t="shared" ref="A32:A42" si="1">+A31+1</f>
        <v>2</v>
      </c>
      <c r="B32" s="4">
        <f>+E31</f>
        <v>96361.010427199857</v>
      </c>
      <c r="C32" s="18">
        <f>+B32*$B$26</f>
        <v>1380.5088417571899</v>
      </c>
      <c r="D32" s="4">
        <f t="shared" ref="D32:D41" si="2">+-+B15</f>
        <v>0</v>
      </c>
      <c r="E32" s="4">
        <f>+B32+C32+D32</f>
        <v>97741.519268957054</v>
      </c>
    </row>
    <row r="33" spans="1:6" x14ac:dyDescent="0.25">
      <c r="A33">
        <f t="shared" si="1"/>
        <v>3</v>
      </c>
      <c r="B33" s="4">
        <f>+E32</f>
        <v>97741.519268957054</v>
      </c>
      <c r="C33" s="18">
        <f>+B33*$B$26</f>
        <v>1400.2865988990125</v>
      </c>
      <c r="D33" s="4">
        <f t="shared" si="2"/>
        <v>0</v>
      </c>
      <c r="E33" s="19">
        <f>+B33+C33+D33</f>
        <v>99141.805867856063</v>
      </c>
    </row>
    <row r="34" spans="1:6" x14ac:dyDescent="0.25">
      <c r="A34">
        <f t="shared" si="1"/>
        <v>4</v>
      </c>
      <c r="B34" s="4">
        <f t="shared" ref="B34:B42" si="3">+E33</f>
        <v>99141.805867856063</v>
      </c>
      <c r="C34" s="18">
        <f t="shared" ref="C34:C42" si="4">+B34*$B$26</f>
        <v>1420.3477006060625</v>
      </c>
      <c r="D34" s="4">
        <f t="shared" si="2"/>
        <v>0</v>
      </c>
      <c r="E34" s="4">
        <f t="shared" ref="E34:E42" si="5">+B34+C34+D34</f>
        <v>100562.15356846212</v>
      </c>
    </row>
    <row r="35" spans="1:6" x14ac:dyDescent="0.25">
      <c r="A35">
        <f t="shared" si="1"/>
        <v>5</v>
      </c>
      <c r="B35" s="4">
        <f t="shared" si="3"/>
        <v>100562.15356846212</v>
      </c>
      <c r="C35" s="18">
        <f t="shared" si="4"/>
        <v>1440.6962061931592</v>
      </c>
      <c r="D35" s="4">
        <f t="shared" si="2"/>
        <v>0</v>
      </c>
      <c r="E35" s="4">
        <f t="shared" si="5"/>
        <v>102002.84977465527</v>
      </c>
    </row>
    <row r="36" spans="1:6" x14ac:dyDescent="0.25">
      <c r="A36">
        <f t="shared" si="1"/>
        <v>6</v>
      </c>
      <c r="B36" s="4">
        <f t="shared" si="3"/>
        <v>102002.84977465527</v>
      </c>
      <c r="C36" s="18">
        <f t="shared" si="4"/>
        <v>1461.3362331305925</v>
      </c>
      <c r="D36" s="4">
        <f t="shared" si="2"/>
        <v>0</v>
      </c>
      <c r="E36" s="4">
        <f t="shared" si="5"/>
        <v>103464.18600778587</v>
      </c>
    </row>
    <row r="37" spans="1:6" x14ac:dyDescent="0.25">
      <c r="A37">
        <f t="shared" si="1"/>
        <v>7</v>
      </c>
      <c r="B37" s="4">
        <f t="shared" si="3"/>
        <v>103464.18600778587</v>
      </c>
      <c r="C37" s="18">
        <f t="shared" si="4"/>
        <v>1482.2719578772842</v>
      </c>
      <c r="D37" s="4">
        <f t="shared" si="2"/>
        <v>0</v>
      </c>
      <c r="E37" s="19">
        <f t="shared" si="5"/>
        <v>104946.45796566315</v>
      </c>
    </row>
    <row r="38" spans="1:6" x14ac:dyDescent="0.25">
      <c r="A38">
        <f t="shared" si="1"/>
        <v>8</v>
      </c>
      <c r="B38" s="4">
        <f t="shared" si="3"/>
        <v>104946.45796566315</v>
      </c>
      <c r="C38" s="18">
        <f t="shared" si="4"/>
        <v>1503.5076167258833</v>
      </c>
      <c r="D38" s="4">
        <f t="shared" si="2"/>
        <v>0</v>
      </c>
      <c r="E38" s="4">
        <f t="shared" si="5"/>
        <v>106449.96558238904</v>
      </c>
    </row>
    <row r="39" spans="1:6" x14ac:dyDescent="0.25">
      <c r="A39">
        <f t="shared" si="1"/>
        <v>9</v>
      </c>
      <c r="B39" s="4">
        <f t="shared" si="3"/>
        <v>106449.96558238904</v>
      </c>
      <c r="C39" s="18">
        <f t="shared" si="4"/>
        <v>1525.0475066599711</v>
      </c>
      <c r="D39" s="4">
        <f t="shared" si="2"/>
        <v>0</v>
      </c>
      <c r="E39" s="4">
        <f t="shared" si="5"/>
        <v>107975.01308904901</v>
      </c>
    </row>
    <row r="40" spans="1:6" x14ac:dyDescent="0.25">
      <c r="A40">
        <f t="shared" si="1"/>
        <v>10</v>
      </c>
      <c r="B40" s="4">
        <f t="shared" si="3"/>
        <v>107975.01308904901</v>
      </c>
      <c r="C40" s="18">
        <f t="shared" si="4"/>
        <v>1546.8959862235433</v>
      </c>
      <c r="D40" s="4">
        <f t="shared" si="2"/>
        <v>0</v>
      </c>
      <c r="E40" s="4">
        <f t="shared" si="5"/>
        <v>109521.90907527256</v>
      </c>
    </row>
    <row r="41" spans="1:6" x14ac:dyDescent="0.25">
      <c r="A41">
        <f t="shared" si="1"/>
        <v>11</v>
      </c>
      <c r="B41" s="4">
        <f t="shared" si="3"/>
        <v>109521.90907527256</v>
      </c>
      <c r="C41" s="18">
        <f t="shared" si="4"/>
        <v>1569.0574764029523</v>
      </c>
      <c r="D41" s="4">
        <f t="shared" si="2"/>
        <v>0</v>
      </c>
      <c r="E41" s="4">
        <f t="shared" si="5"/>
        <v>111090.96655167552</v>
      </c>
    </row>
    <row r="42" spans="1:6" x14ac:dyDescent="0.25">
      <c r="A42">
        <f t="shared" si="1"/>
        <v>12</v>
      </c>
      <c r="B42" s="4">
        <f t="shared" si="3"/>
        <v>111090.96655167552</v>
      </c>
      <c r="C42" s="18">
        <f t="shared" si="4"/>
        <v>1591.5364615214819</v>
      </c>
      <c r="D42" s="2">
        <f>B25</f>
        <v>-112682.50301319698</v>
      </c>
      <c r="E42" s="19">
        <f t="shared" si="5"/>
        <v>0</v>
      </c>
    </row>
    <row r="43" spans="1:6" x14ac:dyDescent="0.25">
      <c r="D43" s="4"/>
    </row>
    <row r="44" spans="1:6" x14ac:dyDescent="0.25">
      <c r="A44" s="1" t="s">
        <v>14</v>
      </c>
      <c r="B44" s="1" t="s">
        <v>15</v>
      </c>
      <c r="C44" s="1"/>
    </row>
    <row r="46" spans="1:6" x14ac:dyDescent="0.25">
      <c r="D46" s="6" t="s">
        <v>16</v>
      </c>
      <c r="E46" s="6" t="s">
        <v>17</v>
      </c>
    </row>
    <row r="47" spans="1:6" x14ac:dyDescent="0.25">
      <c r="A47" s="20" t="s">
        <v>18</v>
      </c>
      <c r="B47" s="20"/>
      <c r="C47" s="20"/>
      <c r="D47" s="21">
        <f>+B31</f>
        <v>95000</v>
      </c>
      <c r="E47" s="20"/>
    </row>
    <row r="48" spans="1:6" x14ac:dyDescent="0.25">
      <c r="A48" s="20" t="s">
        <v>19</v>
      </c>
      <c r="B48" s="20"/>
      <c r="C48" s="20"/>
      <c r="D48" s="20"/>
      <c r="E48" s="21">
        <f>+D47</f>
        <v>95000</v>
      </c>
      <c r="F48" t="s">
        <v>20</v>
      </c>
    </row>
    <row r="50" spans="1:6" x14ac:dyDescent="0.25">
      <c r="A50" s="10">
        <v>1</v>
      </c>
      <c r="D50" s="4"/>
      <c r="E50" s="4"/>
    </row>
    <row r="51" spans="1:6" x14ac:dyDescent="0.25">
      <c r="A51" s="8" t="s">
        <v>21</v>
      </c>
      <c r="B51" s="8"/>
      <c r="C51" s="8"/>
      <c r="D51" s="9">
        <f>VLOOKUP(A50,$A$31:$E$42,3,FALSE)</f>
        <v>1361.0104271998557</v>
      </c>
      <c r="E51" s="9"/>
    </row>
    <row r="52" spans="1:6" x14ac:dyDescent="0.25">
      <c r="A52" s="8" t="s">
        <v>19</v>
      </c>
      <c r="B52" s="8"/>
      <c r="C52" s="8"/>
      <c r="D52" s="9"/>
      <c r="E52" s="9">
        <f>+D51</f>
        <v>1361.0104271998557</v>
      </c>
      <c r="F52" s="11">
        <f>+E48+E52-D53</f>
        <v>96361.010427199857</v>
      </c>
    </row>
    <row r="53" spans="1:6" x14ac:dyDescent="0.25">
      <c r="A53" s="12" t="s">
        <v>19</v>
      </c>
      <c r="B53" s="12"/>
      <c r="C53" s="12"/>
      <c r="D53" s="13">
        <f>VLOOKUP(A50,$A$31:$E$42,4,FALSE)</f>
        <v>0</v>
      </c>
      <c r="E53" s="13"/>
    </row>
    <row r="54" spans="1:6" x14ac:dyDescent="0.25">
      <c r="A54" s="12" t="s">
        <v>18</v>
      </c>
      <c r="B54" s="12"/>
      <c r="C54" s="12"/>
      <c r="D54" s="13"/>
      <c r="E54" s="13">
        <f>+D53</f>
        <v>0</v>
      </c>
    </row>
    <row r="55" spans="1:6" x14ac:dyDescent="0.25">
      <c r="A55" s="10">
        <v>2</v>
      </c>
      <c r="D55" s="4"/>
      <c r="E55" s="4"/>
    </row>
    <row r="56" spans="1:6" x14ac:dyDescent="0.25">
      <c r="A56" s="8" t="s">
        <v>21</v>
      </c>
      <c r="B56" s="8"/>
      <c r="C56" s="8"/>
      <c r="D56" s="9">
        <f>VLOOKUP(A55,$A$31:$E$42,3,FALSE)</f>
        <v>1380.5088417571899</v>
      </c>
      <c r="E56" s="9"/>
    </row>
    <row r="57" spans="1:6" x14ac:dyDescent="0.25">
      <c r="A57" s="8" t="s">
        <v>19</v>
      </c>
      <c r="B57" s="8"/>
      <c r="C57" s="8"/>
      <c r="D57" s="9"/>
      <c r="E57" s="9">
        <f>+D56</f>
        <v>1380.5088417571899</v>
      </c>
      <c r="F57" s="11">
        <f>+F52+E57-D58</f>
        <v>97741.519268957054</v>
      </c>
    </row>
    <row r="58" spans="1:6" x14ac:dyDescent="0.25">
      <c r="A58" s="12" t="s">
        <v>19</v>
      </c>
      <c r="B58" s="12"/>
      <c r="C58" s="12"/>
      <c r="D58" s="13">
        <f>VLOOKUP(A55,$A$31:$E$42,4,FALSE)</f>
        <v>0</v>
      </c>
      <c r="E58" s="13"/>
    </row>
    <row r="59" spans="1:6" x14ac:dyDescent="0.25">
      <c r="A59" s="12" t="s">
        <v>18</v>
      </c>
      <c r="B59" s="12"/>
      <c r="C59" s="12"/>
      <c r="D59" s="13"/>
      <c r="E59" s="13">
        <f>+D58</f>
        <v>0</v>
      </c>
    </row>
    <row r="60" spans="1:6" x14ac:dyDescent="0.25">
      <c r="A60" s="10">
        <v>3</v>
      </c>
      <c r="D60" s="4"/>
      <c r="E60" s="4"/>
    </row>
    <row r="61" spans="1:6" x14ac:dyDescent="0.25">
      <c r="A61" s="8" t="s">
        <v>21</v>
      </c>
      <c r="B61" s="8"/>
      <c r="C61" s="8"/>
      <c r="D61" s="9">
        <f>VLOOKUP(A60,$A$31:$E$42,3,FALSE)</f>
        <v>1400.2865988990125</v>
      </c>
      <c r="E61" s="9"/>
    </row>
    <row r="62" spans="1:6" x14ac:dyDescent="0.25">
      <c r="A62" s="8" t="s">
        <v>19</v>
      </c>
      <c r="B62" s="8"/>
      <c r="C62" s="8"/>
      <c r="D62" s="9"/>
      <c r="E62" s="9">
        <f>+D61</f>
        <v>1400.2865988990125</v>
      </c>
      <c r="F62" s="11">
        <f>+F57+E62-D63</f>
        <v>99141.805867856063</v>
      </c>
    </row>
    <row r="63" spans="1:6" x14ac:dyDescent="0.25">
      <c r="A63" s="12" t="s">
        <v>19</v>
      </c>
      <c r="B63" s="12"/>
      <c r="C63" s="12"/>
      <c r="D63" s="13">
        <f>VLOOKUP(A60,$A$31:$E$42,4,FALSE)</f>
        <v>0</v>
      </c>
      <c r="E63" s="13"/>
    </row>
    <row r="64" spans="1:6" x14ac:dyDescent="0.25">
      <c r="A64" s="12" t="s">
        <v>18</v>
      </c>
      <c r="B64" s="12"/>
      <c r="C64" s="12"/>
      <c r="D64" s="13"/>
      <c r="E64" s="13">
        <f>+D63</f>
        <v>0</v>
      </c>
    </row>
    <row r="65" spans="1:6" x14ac:dyDescent="0.25">
      <c r="A65" s="10">
        <v>4</v>
      </c>
      <c r="D65" s="4"/>
      <c r="E65" s="4"/>
    </row>
    <row r="66" spans="1:6" x14ac:dyDescent="0.25">
      <c r="A66" s="8" t="s">
        <v>21</v>
      </c>
      <c r="B66" s="8"/>
      <c r="C66" s="8"/>
      <c r="D66" s="9">
        <f>VLOOKUP(A65,$A$31:$E$42,3,FALSE)</f>
        <v>1420.3477006060625</v>
      </c>
      <c r="E66" s="9"/>
    </row>
    <row r="67" spans="1:6" x14ac:dyDescent="0.25">
      <c r="A67" s="8" t="s">
        <v>19</v>
      </c>
      <c r="B67" s="8"/>
      <c r="C67" s="8"/>
      <c r="D67" s="9"/>
      <c r="E67" s="9">
        <f>+D66</f>
        <v>1420.3477006060625</v>
      </c>
      <c r="F67" s="11">
        <f>+F62+E67-D68</f>
        <v>100562.15356846212</v>
      </c>
    </row>
    <row r="68" spans="1:6" x14ac:dyDescent="0.25">
      <c r="A68" s="12" t="s">
        <v>19</v>
      </c>
      <c r="B68" s="12"/>
      <c r="C68" s="12"/>
      <c r="D68" s="13">
        <f>-VLOOKUP(A65,$A$31:$E$42,4,FALSE)</f>
        <v>0</v>
      </c>
      <c r="E68" s="13"/>
    </row>
    <row r="69" spans="1:6" x14ac:dyDescent="0.25">
      <c r="A69" s="12" t="s">
        <v>18</v>
      </c>
      <c r="B69" s="12"/>
      <c r="C69" s="12"/>
      <c r="D69" s="13"/>
      <c r="E69" s="13">
        <f>+D68</f>
        <v>0</v>
      </c>
    </row>
    <row r="70" spans="1:6" x14ac:dyDescent="0.25">
      <c r="A70" s="10">
        <v>5</v>
      </c>
      <c r="D70" s="4"/>
      <c r="E70" s="4"/>
    </row>
    <row r="71" spans="1:6" x14ac:dyDescent="0.25">
      <c r="A71" s="8" t="s">
        <v>21</v>
      </c>
      <c r="B71" s="8"/>
      <c r="C71" s="8"/>
      <c r="D71" s="9">
        <f>VLOOKUP(A70,$A$31:$E$42,3,FALSE)</f>
        <v>1440.6962061931592</v>
      </c>
      <c r="E71" s="9"/>
    </row>
    <row r="72" spans="1:6" x14ac:dyDescent="0.25">
      <c r="A72" s="8" t="s">
        <v>19</v>
      </c>
      <c r="B72" s="8"/>
      <c r="C72" s="8"/>
      <c r="D72" s="9"/>
      <c r="E72" s="9">
        <f>+D71</f>
        <v>1440.6962061931592</v>
      </c>
      <c r="F72" s="11">
        <f>+F67+E72-D73</f>
        <v>102002.84977465527</v>
      </c>
    </row>
    <row r="73" spans="1:6" x14ac:dyDescent="0.25">
      <c r="A73" s="12" t="s">
        <v>19</v>
      </c>
      <c r="B73" s="12"/>
      <c r="C73" s="12"/>
      <c r="D73" s="13">
        <f>-VLOOKUP(A70,$A$31:$E$42,4,FALSE)</f>
        <v>0</v>
      </c>
      <c r="E73" s="13"/>
    </row>
    <row r="74" spans="1:6" x14ac:dyDescent="0.25">
      <c r="A74" s="12" t="s">
        <v>18</v>
      </c>
      <c r="B74" s="12"/>
      <c r="C74" s="12"/>
      <c r="D74" s="13"/>
      <c r="E74" s="13">
        <f>+D73</f>
        <v>0</v>
      </c>
    </row>
    <row r="75" spans="1:6" x14ac:dyDescent="0.25">
      <c r="A75" s="10">
        <v>6</v>
      </c>
      <c r="D75" s="4"/>
      <c r="E75" s="4"/>
    </row>
    <row r="76" spans="1:6" x14ac:dyDescent="0.25">
      <c r="A76" s="8" t="s">
        <v>21</v>
      </c>
      <c r="B76" s="8"/>
      <c r="C76" s="8"/>
      <c r="D76" s="9">
        <f>VLOOKUP(A75,$A$31:$E$42,3,FALSE)</f>
        <v>1461.3362331305925</v>
      </c>
      <c r="E76" s="9"/>
    </row>
    <row r="77" spans="1:6" x14ac:dyDescent="0.25">
      <c r="A77" s="8" t="s">
        <v>19</v>
      </c>
      <c r="B77" s="8"/>
      <c r="C77" s="8"/>
      <c r="D77" s="9"/>
      <c r="E77" s="9">
        <f>+D76</f>
        <v>1461.3362331305925</v>
      </c>
      <c r="F77" s="11">
        <f>+F72+E77-D78</f>
        <v>103464.18600778587</v>
      </c>
    </row>
    <row r="78" spans="1:6" x14ac:dyDescent="0.25">
      <c r="A78" s="12" t="s">
        <v>19</v>
      </c>
      <c r="B78" s="12"/>
      <c r="C78" s="12"/>
      <c r="D78" s="13">
        <f>-VLOOKUP(A75,$A$31:$E$42,4,FALSE)</f>
        <v>0</v>
      </c>
      <c r="E78" s="13"/>
    </row>
    <row r="79" spans="1:6" x14ac:dyDescent="0.25">
      <c r="A79" s="12" t="s">
        <v>18</v>
      </c>
      <c r="B79" s="12"/>
      <c r="C79" s="12"/>
      <c r="D79" s="13"/>
      <c r="E79" s="13">
        <f>+D78</f>
        <v>0</v>
      </c>
    </row>
    <row r="80" spans="1:6" x14ac:dyDescent="0.25">
      <c r="A80" s="10">
        <v>7</v>
      </c>
      <c r="D80" s="4"/>
      <c r="E80" s="4"/>
    </row>
    <row r="81" spans="1:6" x14ac:dyDescent="0.25">
      <c r="A81" s="8" t="s">
        <v>21</v>
      </c>
      <c r="B81" s="8"/>
      <c r="C81" s="8"/>
      <c r="D81" s="9">
        <f>VLOOKUP(A80,$A$31:$E$42,3,FALSE)</f>
        <v>1482.2719578772842</v>
      </c>
      <c r="E81" s="9"/>
    </row>
    <row r="82" spans="1:6" x14ac:dyDescent="0.25">
      <c r="A82" s="8" t="s">
        <v>19</v>
      </c>
      <c r="B82" s="8"/>
      <c r="C82" s="8"/>
      <c r="D82" s="9"/>
      <c r="E82" s="9">
        <f>+D81</f>
        <v>1482.2719578772842</v>
      </c>
      <c r="F82" s="11">
        <f>+F77+E82-D83</f>
        <v>104946.45796566315</v>
      </c>
    </row>
    <row r="83" spans="1:6" x14ac:dyDescent="0.25">
      <c r="A83" s="12" t="s">
        <v>19</v>
      </c>
      <c r="B83" s="12"/>
      <c r="C83" s="12"/>
      <c r="D83" s="13">
        <f>-VLOOKUP(A80,$A$31:$E$42,4,FALSE)</f>
        <v>0</v>
      </c>
      <c r="E83" s="13"/>
    </row>
    <row r="84" spans="1:6" x14ac:dyDescent="0.25">
      <c r="A84" s="12" t="s">
        <v>18</v>
      </c>
      <c r="B84" s="12"/>
      <c r="C84" s="12"/>
      <c r="D84" s="13"/>
      <c r="E84" s="13">
        <f>+D83</f>
        <v>0</v>
      </c>
    </row>
    <row r="85" spans="1:6" x14ac:dyDescent="0.25">
      <c r="A85" s="10">
        <v>8</v>
      </c>
      <c r="D85" s="4"/>
      <c r="E85" s="4"/>
    </row>
    <row r="86" spans="1:6" x14ac:dyDescent="0.25">
      <c r="A86" s="8" t="s">
        <v>21</v>
      </c>
      <c r="B86" s="8"/>
      <c r="C86" s="8"/>
      <c r="D86" s="9">
        <f>VLOOKUP(A85,$A$31:$E$42,3,FALSE)</f>
        <v>1503.5076167258833</v>
      </c>
      <c r="E86" s="9"/>
    </row>
    <row r="87" spans="1:6" x14ac:dyDescent="0.25">
      <c r="A87" s="8" t="s">
        <v>19</v>
      </c>
      <c r="B87" s="8"/>
      <c r="C87" s="8"/>
      <c r="D87" s="9"/>
      <c r="E87" s="9">
        <f>+D86</f>
        <v>1503.5076167258833</v>
      </c>
      <c r="F87" s="11">
        <f>+F82+E87-D88</f>
        <v>106449.96558238904</v>
      </c>
    </row>
    <row r="88" spans="1:6" x14ac:dyDescent="0.25">
      <c r="A88" s="12" t="s">
        <v>19</v>
      </c>
      <c r="B88" s="12"/>
      <c r="C88" s="12"/>
      <c r="D88" s="13">
        <f>-VLOOKUP(A85,$A$31:$E$42,4,FALSE)</f>
        <v>0</v>
      </c>
      <c r="E88" s="13"/>
    </row>
    <row r="89" spans="1:6" x14ac:dyDescent="0.25">
      <c r="A89" s="12" t="s">
        <v>18</v>
      </c>
      <c r="B89" s="12"/>
      <c r="C89" s="12"/>
      <c r="D89" s="13"/>
      <c r="E89" s="13">
        <f>+D88</f>
        <v>0</v>
      </c>
    </row>
    <row r="90" spans="1:6" x14ac:dyDescent="0.25">
      <c r="A90" s="10">
        <v>9</v>
      </c>
      <c r="D90" s="4"/>
      <c r="E90" s="4"/>
    </row>
    <row r="91" spans="1:6" x14ac:dyDescent="0.25">
      <c r="A91" s="8" t="s">
        <v>21</v>
      </c>
      <c r="B91" s="8"/>
      <c r="C91" s="8"/>
      <c r="D91" s="9">
        <f>VLOOKUP(A90,$A$31:$E$42,3,FALSE)</f>
        <v>1525.0475066599711</v>
      </c>
      <c r="E91" s="9"/>
    </row>
    <row r="92" spans="1:6" x14ac:dyDescent="0.25">
      <c r="A92" s="8" t="s">
        <v>19</v>
      </c>
      <c r="B92" s="8"/>
      <c r="C92" s="8"/>
      <c r="D92" s="9"/>
      <c r="E92" s="9">
        <f>+D91</f>
        <v>1525.0475066599711</v>
      </c>
      <c r="F92" s="11">
        <f>+F87+E92-D93</f>
        <v>107975.01308904901</v>
      </c>
    </row>
    <row r="93" spans="1:6" x14ac:dyDescent="0.25">
      <c r="A93" s="12" t="s">
        <v>19</v>
      </c>
      <c r="B93" s="12"/>
      <c r="C93" s="12"/>
      <c r="D93" s="13">
        <f>-VLOOKUP(A90,$A$31:$E$42,4,FALSE)</f>
        <v>0</v>
      </c>
      <c r="E93" s="13"/>
    </row>
    <row r="94" spans="1:6" x14ac:dyDescent="0.25">
      <c r="A94" s="12" t="s">
        <v>18</v>
      </c>
      <c r="B94" s="12"/>
      <c r="C94" s="12"/>
      <c r="D94" s="13"/>
      <c r="E94" s="13">
        <f>+D93</f>
        <v>0</v>
      </c>
    </row>
    <row r="95" spans="1:6" x14ac:dyDescent="0.25">
      <c r="A95" s="10">
        <v>10</v>
      </c>
      <c r="D95" s="4"/>
      <c r="E95" s="4"/>
    </row>
    <row r="96" spans="1:6" x14ac:dyDescent="0.25">
      <c r="A96" s="8" t="s">
        <v>21</v>
      </c>
      <c r="B96" s="8"/>
      <c r="C96" s="8"/>
      <c r="D96" s="9">
        <f>VLOOKUP(A95,$A$31:$E$42,3,FALSE)</f>
        <v>1546.8959862235433</v>
      </c>
      <c r="E96" s="9"/>
    </row>
    <row r="97" spans="1:6" x14ac:dyDescent="0.25">
      <c r="A97" s="8" t="s">
        <v>19</v>
      </c>
      <c r="B97" s="8"/>
      <c r="C97" s="8"/>
      <c r="D97" s="9"/>
      <c r="E97" s="9">
        <f>+D96</f>
        <v>1546.8959862235433</v>
      </c>
      <c r="F97" s="11">
        <f>+F92+E97-D98</f>
        <v>109521.90907527256</v>
      </c>
    </row>
    <row r="98" spans="1:6" x14ac:dyDescent="0.25">
      <c r="A98" s="12" t="s">
        <v>19</v>
      </c>
      <c r="B98" s="12"/>
      <c r="C98" s="12"/>
      <c r="D98" s="13">
        <f>-VLOOKUP(A95,$A$31:$E$42,4,FALSE)</f>
        <v>0</v>
      </c>
      <c r="E98" s="13"/>
    </row>
    <row r="99" spans="1:6" x14ac:dyDescent="0.25">
      <c r="A99" s="12" t="s">
        <v>18</v>
      </c>
      <c r="B99" s="12"/>
      <c r="C99" s="12"/>
      <c r="D99" s="13"/>
      <c r="E99" s="13">
        <f>+D98</f>
        <v>0</v>
      </c>
    </row>
    <row r="100" spans="1:6" x14ac:dyDescent="0.25">
      <c r="A100" s="10">
        <v>11</v>
      </c>
      <c r="D100" s="4"/>
      <c r="E100" s="4"/>
    </row>
    <row r="101" spans="1:6" x14ac:dyDescent="0.25">
      <c r="A101" s="8" t="s">
        <v>21</v>
      </c>
      <c r="B101" s="8"/>
      <c r="C101" s="8"/>
      <c r="D101" s="9">
        <f>VLOOKUP(A100,$A$31:$E$42,3,FALSE)</f>
        <v>1569.0574764029523</v>
      </c>
      <c r="E101" s="9"/>
    </row>
    <row r="102" spans="1:6" x14ac:dyDescent="0.25">
      <c r="A102" s="8" t="s">
        <v>19</v>
      </c>
      <c r="B102" s="8"/>
      <c r="C102" s="8"/>
      <c r="D102" s="9"/>
      <c r="E102" s="9">
        <f>+D101</f>
        <v>1569.0574764029523</v>
      </c>
      <c r="F102" s="11">
        <f>+F97+E102-D103</f>
        <v>111090.96655167552</v>
      </c>
    </row>
    <row r="103" spans="1:6" x14ac:dyDescent="0.25">
      <c r="A103" s="12" t="s">
        <v>19</v>
      </c>
      <c r="B103" s="12"/>
      <c r="C103" s="12"/>
      <c r="D103" s="13">
        <f>-VLOOKUP(A100,$A$31:$E$42,4,FALSE)</f>
        <v>0</v>
      </c>
      <c r="E103" s="13"/>
    </row>
    <row r="104" spans="1:6" x14ac:dyDescent="0.25">
      <c r="A104" s="12" t="s">
        <v>18</v>
      </c>
      <c r="B104" s="12"/>
      <c r="C104" s="12"/>
      <c r="D104" s="13"/>
      <c r="E104" s="13">
        <f>+D103</f>
        <v>0</v>
      </c>
    </row>
    <row r="105" spans="1:6" x14ac:dyDescent="0.25">
      <c r="A105" s="10">
        <v>12</v>
      </c>
      <c r="D105" s="4"/>
      <c r="E105" s="4"/>
    </row>
    <row r="106" spans="1:6" x14ac:dyDescent="0.25">
      <c r="A106" s="8" t="s">
        <v>21</v>
      </c>
      <c r="B106" s="8"/>
      <c r="C106" s="8"/>
      <c r="D106" s="9">
        <f>VLOOKUP(A105,$A$31:$E$42,3,FALSE)</f>
        <v>1591.5364615214819</v>
      </c>
      <c r="E106" s="9"/>
    </row>
    <row r="107" spans="1:6" x14ac:dyDescent="0.25">
      <c r="A107" s="8" t="s">
        <v>19</v>
      </c>
      <c r="B107" s="8"/>
      <c r="C107" s="8"/>
      <c r="D107" s="9"/>
      <c r="E107" s="9">
        <f>+D106</f>
        <v>1591.5364615214819</v>
      </c>
      <c r="F107" s="22">
        <f>+F102+E107-D108</f>
        <v>0</v>
      </c>
    </row>
    <row r="108" spans="1:6" x14ac:dyDescent="0.25">
      <c r="A108" s="12" t="s">
        <v>19</v>
      </c>
      <c r="B108" s="12"/>
      <c r="C108" s="12"/>
      <c r="D108" s="13">
        <f>-VLOOKUP(A105,$A$31:$E$42,4,FALSE)</f>
        <v>112682.50301319698</v>
      </c>
      <c r="E108" s="13"/>
    </row>
    <row r="109" spans="1:6" x14ac:dyDescent="0.25">
      <c r="A109" s="12" t="s">
        <v>18</v>
      </c>
      <c r="B109" s="12"/>
      <c r="C109" s="12"/>
      <c r="D109" s="13"/>
      <c r="E109" s="13">
        <f>+D108</f>
        <v>112682.50301319698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Hoja3 (4)</vt:lpstr>
      <vt:lpstr>Hoja3 (3)</vt:lpstr>
      <vt:lpstr>Hoja3</vt:lpstr>
      <vt:lpstr>Hoja3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2024-05-22T04:16:38Z</dcterms:created>
  <dcterms:modified xsi:type="dcterms:W3CDTF">2024-05-22T13:38:02Z</dcterms:modified>
</cp:coreProperties>
</file>